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justacenter.sharepoint.com/sites/AccountingFinance/Shared Documents/2024 Accounting/Budgets/"/>
    </mc:Choice>
  </mc:AlternateContent>
  <xr:revisionPtr revIDLastSave="269" documentId="8_{3F758277-B19E-461B-8E68-059E8BE99325}" xr6:coauthVersionLast="47" xr6:coauthVersionMax="47" xr10:uidLastSave="{02A861B9-0E16-4B13-A98E-92A6E57A20A5}"/>
  <bookViews>
    <workbookView xWindow="-108" yWindow="-108" windowWidth="23256" windowHeight="12456" firstSheet="1" activeTab="1" xr2:uid="{00000000-000D-0000-FFFF-FFFF00000000}"/>
  </bookViews>
  <sheets>
    <sheet name="Total Budget By Month" sheetId="1" r:id="rId1"/>
    <sheet name="Total Budget Summary" sheetId="3" r:id="rId2"/>
  </sheets>
  <definedNames>
    <definedName name="_xlnm.Print_Titles" localSheetId="0">'Total Budget By Month'!$1:$5</definedName>
    <definedName name="_xlnm.Print_Titles" localSheetId="1">'Total Budget Summary'!$1:$8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3" l="1"/>
  <c r="D30" i="3"/>
  <c r="E30" i="3"/>
  <c r="F30" i="3"/>
  <c r="G30" i="3"/>
  <c r="H30" i="3"/>
  <c r="I30" i="3"/>
  <c r="J30" i="3"/>
  <c r="K30" i="3"/>
  <c r="L30" i="3"/>
  <c r="M30" i="3"/>
  <c r="B30" i="3"/>
  <c r="N23" i="3"/>
  <c r="C23" i="3"/>
  <c r="D23" i="3"/>
  <c r="E23" i="3"/>
  <c r="F23" i="3"/>
  <c r="G23" i="3"/>
  <c r="H23" i="3"/>
  <c r="I23" i="3"/>
  <c r="J23" i="3"/>
  <c r="K23" i="3"/>
  <c r="L23" i="3"/>
  <c r="M23" i="3"/>
  <c r="B23" i="3"/>
  <c r="D105" i="3"/>
  <c r="E105" i="3"/>
  <c r="F105" i="3"/>
  <c r="G105" i="3"/>
  <c r="H105" i="3"/>
  <c r="I105" i="3"/>
  <c r="J105" i="3"/>
  <c r="K105" i="3"/>
  <c r="L105" i="3"/>
  <c r="M105" i="3"/>
  <c r="N25" i="3"/>
  <c r="N26" i="3"/>
  <c r="N27" i="3"/>
  <c r="N28" i="3"/>
  <c r="N29" i="3"/>
  <c r="N34" i="3"/>
  <c r="C35" i="3"/>
  <c r="D35" i="3"/>
  <c r="E35" i="3"/>
  <c r="F35" i="3"/>
  <c r="G35" i="3"/>
  <c r="H35" i="3"/>
  <c r="I35" i="3"/>
  <c r="J35" i="3"/>
  <c r="K35" i="3"/>
  <c r="L35" i="3"/>
  <c r="M35" i="3"/>
  <c r="N35" i="3"/>
  <c r="N36" i="3"/>
  <c r="N37" i="3"/>
  <c r="N22" i="3"/>
  <c r="N21" i="3"/>
  <c r="N20" i="3"/>
  <c r="N19" i="3"/>
  <c r="N17" i="3"/>
  <c r="M16" i="3"/>
  <c r="L16" i="3"/>
  <c r="K16" i="3"/>
  <c r="J16" i="3"/>
  <c r="I16" i="3"/>
  <c r="H16" i="3"/>
  <c r="G16" i="3"/>
  <c r="F16" i="3"/>
  <c r="E16" i="3"/>
  <c r="D16" i="3"/>
  <c r="N16" i="3" s="1"/>
  <c r="C16" i="3"/>
  <c r="B16" i="3"/>
  <c r="N14" i="3"/>
  <c r="N13" i="3"/>
  <c r="N12" i="3"/>
  <c r="N11" i="3"/>
  <c r="N10" i="3"/>
  <c r="P16" i="3"/>
  <c r="C75" i="3"/>
  <c r="D75" i="3"/>
  <c r="E75" i="3"/>
  <c r="F75" i="3"/>
  <c r="G75" i="3"/>
  <c r="H75" i="3"/>
  <c r="I75" i="3"/>
  <c r="J75" i="3"/>
  <c r="K75" i="3"/>
  <c r="L75" i="3"/>
  <c r="M75" i="3"/>
  <c r="B75" i="3"/>
  <c r="N75" i="3" s="1"/>
  <c r="N109" i="3"/>
  <c r="N92" i="3"/>
  <c r="P23" i="3" l="1"/>
  <c r="P30" i="3" s="1"/>
  <c r="P121" i="3" l="1"/>
  <c r="P84" i="3"/>
  <c r="P103" i="3" l="1"/>
  <c r="P97" i="3"/>
  <c r="P90" i="3"/>
  <c r="P59" i="3"/>
  <c r="P52" i="3"/>
  <c r="N123" i="3" l="1"/>
  <c r="N120" i="3"/>
  <c r="N119" i="3"/>
  <c r="N118" i="3"/>
  <c r="N117" i="3"/>
  <c r="B103" i="3"/>
  <c r="M84" i="3"/>
  <c r="L84" i="3"/>
  <c r="K84" i="3"/>
  <c r="J84" i="3"/>
  <c r="I84" i="3"/>
  <c r="H84" i="3"/>
  <c r="G84" i="3"/>
  <c r="F84" i="3"/>
  <c r="E84" i="3"/>
  <c r="D84" i="3"/>
  <c r="C84" i="3"/>
  <c r="B84" i="3"/>
  <c r="M103" i="3"/>
  <c r="L103" i="3"/>
  <c r="K103" i="3"/>
  <c r="J103" i="3"/>
  <c r="I103" i="3"/>
  <c r="H103" i="3"/>
  <c r="G103" i="3"/>
  <c r="F103" i="3"/>
  <c r="E103" i="3"/>
  <c r="D103" i="3"/>
  <c r="C103" i="3"/>
  <c r="N103" i="3" l="1"/>
  <c r="M97" i="3" l="1"/>
  <c r="L97" i="3"/>
  <c r="K97" i="3"/>
  <c r="J97" i="3"/>
  <c r="I97" i="3"/>
  <c r="H97" i="3"/>
  <c r="G97" i="3"/>
  <c r="F97" i="3"/>
  <c r="E97" i="3"/>
  <c r="D97" i="3"/>
  <c r="C97" i="3"/>
  <c r="B97" i="3"/>
  <c r="M90" i="3"/>
  <c r="L90" i="3"/>
  <c r="K90" i="3"/>
  <c r="J90" i="3"/>
  <c r="I90" i="3"/>
  <c r="H90" i="3"/>
  <c r="G90" i="3"/>
  <c r="F90" i="3"/>
  <c r="E90" i="3"/>
  <c r="D90" i="3"/>
  <c r="C90" i="3"/>
  <c r="B90" i="3"/>
  <c r="N83" i="3"/>
  <c r="N81" i="3"/>
  <c r="N80" i="3"/>
  <c r="M59" i="3"/>
  <c r="L59" i="3"/>
  <c r="K59" i="3"/>
  <c r="J59" i="3"/>
  <c r="I59" i="3"/>
  <c r="H59" i="3"/>
  <c r="G59" i="3"/>
  <c r="F59" i="3"/>
  <c r="E59" i="3"/>
  <c r="D59" i="3"/>
  <c r="C59" i="3"/>
  <c r="B59" i="3"/>
  <c r="N44" i="3"/>
  <c r="N45" i="3"/>
  <c r="C115" i="3"/>
  <c r="N30" i="3" l="1"/>
  <c r="N97" i="3"/>
  <c r="N90" i="3"/>
  <c r="N59" i="3"/>
  <c r="B52" i="3" l="1"/>
  <c r="N110" i="3"/>
  <c r="N112" i="3" l="1"/>
  <c r="P41" i="3"/>
  <c r="P63" i="3" l="1"/>
  <c r="N87" i="3"/>
  <c r="N79" i="3"/>
  <c r="P75" i="3"/>
  <c r="P67" i="3"/>
  <c r="P105" i="3" s="1"/>
  <c r="P113" i="3" s="1"/>
  <c r="P115" i="3" s="1"/>
  <c r="M67" i="3"/>
  <c r="L67" i="3"/>
  <c r="K67" i="3"/>
  <c r="J67" i="3"/>
  <c r="I67" i="3"/>
  <c r="H67" i="3"/>
  <c r="G67" i="3"/>
  <c r="F67" i="3"/>
  <c r="E67" i="3"/>
  <c r="D67" i="3"/>
  <c r="B67" i="3"/>
  <c r="M52" i="3"/>
  <c r="L52" i="3"/>
  <c r="K52" i="3"/>
  <c r="J52" i="3"/>
  <c r="I52" i="3"/>
  <c r="H52" i="3"/>
  <c r="G52" i="3"/>
  <c r="F52" i="3"/>
  <c r="E52" i="3"/>
  <c r="D52" i="3"/>
  <c r="C52" i="3"/>
  <c r="N46" i="3"/>
  <c r="P124" i="3" l="1"/>
  <c r="N52" i="3"/>
  <c r="N73" i="3"/>
  <c r="N51" i="3"/>
  <c r="N99" i="3"/>
  <c r="M121" i="3" l="1"/>
  <c r="M122" i="3" s="1"/>
  <c r="L121" i="3"/>
  <c r="L122" i="3" s="1"/>
  <c r="K121" i="3"/>
  <c r="K122" i="3" s="1"/>
  <c r="J121" i="3"/>
  <c r="J122" i="3" s="1"/>
  <c r="I121" i="3"/>
  <c r="I122" i="3" s="1"/>
  <c r="H121" i="3"/>
  <c r="H122" i="3" s="1"/>
  <c r="G121" i="3"/>
  <c r="G122" i="3" s="1"/>
  <c r="F121" i="3"/>
  <c r="F122" i="3" s="1"/>
  <c r="E121" i="3"/>
  <c r="E122" i="3" s="1"/>
  <c r="D121" i="3"/>
  <c r="D122" i="3" s="1"/>
  <c r="C121" i="3"/>
  <c r="C122" i="3" s="1"/>
  <c r="B121" i="3"/>
  <c r="N121" i="3" s="1"/>
  <c r="N102" i="3"/>
  <c r="N101" i="3"/>
  <c r="N100" i="3"/>
  <c r="N96" i="3"/>
  <c r="N95" i="3"/>
  <c r="N89" i="3"/>
  <c r="N88" i="3"/>
  <c r="N86" i="3"/>
  <c r="N82" i="3"/>
  <c r="N74" i="3"/>
  <c r="N69" i="3"/>
  <c r="N66" i="3"/>
  <c r="N65" i="3"/>
  <c r="N64" i="3"/>
  <c r="N63" i="3"/>
  <c r="N62" i="3"/>
  <c r="C61" i="3"/>
  <c r="N58" i="3"/>
  <c r="N57" i="3"/>
  <c r="N56" i="3"/>
  <c r="N55" i="3"/>
  <c r="N50" i="3"/>
  <c r="N49" i="3"/>
  <c r="D41" i="3"/>
  <c r="C41" i="3"/>
  <c r="B41" i="3"/>
  <c r="N53" i="1"/>
  <c r="B105" i="3" l="1"/>
  <c r="B113" i="3" s="1"/>
  <c r="B115" i="3" s="1"/>
  <c r="D113" i="3"/>
  <c r="D115" i="3" s="1"/>
  <c r="N84" i="3"/>
  <c r="C67" i="3"/>
  <c r="E41" i="3"/>
  <c r="M41" i="3"/>
  <c r="N72" i="3"/>
  <c r="N61" i="3"/>
  <c r="G41" i="3"/>
  <c r="F41" i="3"/>
  <c r="N39" i="3"/>
  <c r="N40" i="3"/>
  <c r="N48" i="3"/>
  <c r="J41" i="3"/>
  <c r="I41" i="3"/>
  <c r="K41" i="3"/>
  <c r="H41" i="3"/>
  <c r="L41" i="3"/>
  <c r="N54" i="3"/>
  <c r="B122" i="3"/>
  <c r="N122" i="3" s="1"/>
  <c r="N47" i="3"/>
  <c r="P74" i="1"/>
  <c r="P75" i="1" s="1"/>
  <c r="M74" i="1"/>
  <c r="M75" i="1" s="1"/>
  <c r="L74" i="1"/>
  <c r="L75" i="1" s="1"/>
  <c r="K74" i="1"/>
  <c r="K75" i="1" s="1"/>
  <c r="J74" i="1"/>
  <c r="J75" i="1" s="1"/>
  <c r="I74" i="1"/>
  <c r="I75" i="1" s="1"/>
  <c r="H74" i="1"/>
  <c r="H75" i="1" s="1"/>
  <c r="G74" i="1"/>
  <c r="G75" i="1" s="1"/>
  <c r="F74" i="1"/>
  <c r="F75" i="1" s="1"/>
  <c r="E74" i="1"/>
  <c r="E75" i="1" s="1"/>
  <c r="D74" i="1"/>
  <c r="D75" i="1" s="1"/>
  <c r="C74" i="1"/>
  <c r="C75" i="1" s="1"/>
  <c r="B74" i="1"/>
  <c r="B75" i="1" s="1"/>
  <c r="O73" i="1"/>
  <c r="N73" i="1"/>
  <c r="O71" i="1"/>
  <c r="N71" i="1"/>
  <c r="O70" i="1"/>
  <c r="N70" i="1"/>
  <c r="P65" i="1"/>
  <c r="P66" i="1" s="1"/>
  <c r="D65" i="1"/>
  <c r="B65" i="1"/>
  <c r="N64" i="1"/>
  <c r="N63" i="1"/>
  <c r="N62" i="1"/>
  <c r="N60" i="1"/>
  <c r="N59" i="1"/>
  <c r="N58" i="1"/>
  <c r="N57" i="1"/>
  <c r="N56" i="1"/>
  <c r="N55" i="1"/>
  <c r="N54" i="1"/>
  <c r="N52" i="1"/>
  <c r="N51" i="1"/>
  <c r="N50" i="1"/>
  <c r="N49" i="1"/>
  <c r="N48" i="1"/>
  <c r="M47" i="1"/>
  <c r="L47" i="1"/>
  <c r="K47" i="1"/>
  <c r="J47" i="1"/>
  <c r="H47" i="1"/>
  <c r="G47" i="1"/>
  <c r="F47" i="1"/>
  <c r="E47" i="1"/>
  <c r="N46" i="1"/>
  <c r="N45" i="1"/>
  <c r="N44" i="1"/>
  <c r="N43" i="1"/>
  <c r="N42" i="1"/>
  <c r="N41" i="1"/>
  <c r="C40" i="1"/>
  <c r="C65" i="1" s="1"/>
  <c r="N39" i="1"/>
  <c r="N38" i="1"/>
  <c r="N37" i="1"/>
  <c r="N36" i="1"/>
  <c r="N35" i="1"/>
  <c r="K34" i="1"/>
  <c r="F34" i="1"/>
  <c r="E34" i="1"/>
  <c r="N33" i="1"/>
  <c r="N32" i="1"/>
  <c r="M31" i="1"/>
  <c r="L31" i="1"/>
  <c r="K31" i="1"/>
  <c r="J31" i="1"/>
  <c r="I31" i="1"/>
  <c r="H31" i="1"/>
  <c r="G31" i="1"/>
  <c r="F31" i="1"/>
  <c r="E31" i="1"/>
  <c r="M30" i="1"/>
  <c r="M65" i="1" s="1"/>
  <c r="L30" i="1"/>
  <c r="K30" i="1"/>
  <c r="J30" i="1"/>
  <c r="I30" i="1"/>
  <c r="H30" i="1"/>
  <c r="G30" i="1"/>
  <c r="F30" i="1"/>
  <c r="E30" i="1"/>
  <c r="N29" i="1"/>
  <c r="N28" i="1"/>
  <c r="P25" i="1"/>
  <c r="D25" i="1"/>
  <c r="C25" i="1"/>
  <c r="B25" i="1"/>
  <c r="M24" i="1"/>
  <c r="L24" i="1"/>
  <c r="K24" i="1"/>
  <c r="J24" i="1"/>
  <c r="I24" i="1"/>
  <c r="H24" i="1"/>
  <c r="G24" i="1"/>
  <c r="F24" i="1"/>
  <c r="E24" i="1"/>
  <c r="M23" i="1"/>
  <c r="L23" i="1"/>
  <c r="K23" i="1"/>
  <c r="J23" i="1"/>
  <c r="I23" i="1"/>
  <c r="H23" i="1"/>
  <c r="G23" i="1"/>
  <c r="F23" i="1"/>
  <c r="E23" i="1"/>
  <c r="M22" i="1"/>
  <c r="L22" i="1"/>
  <c r="K22" i="1"/>
  <c r="J22" i="1"/>
  <c r="I22" i="1"/>
  <c r="H22" i="1"/>
  <c r="G22" i="1"/>
  <c r="F22" i="1"/>
  <c r="E22" i="1"/>
  <c r="M21" i="1"/>
  <c r="L21" i="1"/>
  <c r="K21" i="1"/>
  <c r="J21" i="1"/>
  <c r="I21" i="1"/>
  <c r="H21" i="1"/>
  <c r="G21" i="1"/>
  <c r="F21" i="1"/>
  <c r="E21" i="1"/>
  <c r="M19" i="1"/>
  <c r="L19" i="1"/>
  <c r="K19" i="1"/>
  <c r="J19" i="1"/>
  <c r="I19" i="1"/>
  <c r="H19" i="1"/>
  <c r="G19" i="1"/>
  <c r="F19" i="1"/>
  <c r="E19" i="1"/>
  <c r="N18" i="1"/>
  <c r="L15" i="1"/>
  <c r="H15" i="1"/>
  <c r="P14" i="1"/>
  <c r="P15" i="1" s="1"/>
  <c r="M14" i="1"/>
  <c r="M15" i="1" s="1"/>
  <c r="L14" i="1"/>
  <c r="K14" i="1"/>
  <c r="K15" i="1" s="1"/>
  <c r="J14" i="1"/>
  <c r="I14" i="1"/>
  <c r="I15" i="1" s="1"/>
  <c r="H14" i="1"/>
  <c r="G14" i="1"/>
  <c r="G15" i="1" s="1"/>
  <c r="F14" i="1"/>
  <c r="F15" i="1" s="1"/>
  <c r="E14" i="1"/>
  <c r="E15" i="1" s="1"/>
  <c r="D14" i="1"/>
  <c r="D15" i="1" s="1"/>
  <c r="C14" i="1"/>
  <c r="C15" i="1" s="1"/>
  <c r="B14" i="1"/>
  <c r="N13" i="1"/>
  <c r="N12" i="1"/>
  <c r="N11" i="1"/>
  <c r="N10" i="1"/>
  <c r="N9" i="1"/>
  <c r="B8" i="1"/>
  <c r="N8" i="1" s="1"/>
  <c r="N7" i="1"/>
  <c r="E113" i="3" l="1"/>
  <c r="E115" i="3" s="1"/>
  <c r="C105" i="3"/>
  <c r="C113" i="3" s="1"/>
  <c r="D124" i="3"/>
  <c r="K113" i="3"/>
  <c r="G113" i="3"/>
  <c r="J113" i="3"/>
  <c r="L113" i="3"/>
  <c r="I113" i="3"/>
  <c r="M113" i="3"/>
  <c r="H113" i="3"/>
  <c r="N67" i="3"/>
  <c r="L25" i="1"/>
  <c r="I65" i="1"/>
  <c r="N34" i="1"/>
  <c r="K25" i="1"/>
  <c r="H65" i="1"/>
  <c r="J65" i="1"/>
  <c r="E65" i="1"/>
  <c r="G25" i="1"/>
  <c r="N23" i="1"/>
  <c r="F65" i="1"/>
  <c r="B124" i="3"/>
  <c r="N41" i="3"/>
  <c r="N24" i="1"/>
  <c r="G65" i="1"/>
  <c r="J25" i="1"/>
  <c r="N47" i="1"/>
  <c r="P67" i="1"/>
  <c r="P77" i="1" s="1"/>
  <c r="F25" i="1"/>
  <c r="E25" i="1"/>
  <c r="M25" i="1"/>
  <c r="M66" i="1" s="1"/>
  <c r="M67" i="1" s="1"/>
  <c r="M77" i="1" s="1"/>
  <c r="N31" i="1"/>
  <c r="K65" i="1"/>
  <c r="K66" i="1" s="1"/>
  <c r="K67" i="1" s="1"/>
  <c r="K77" i="1" s="1"/>
  <c r="J66" i="1"/>
  <c r="J67" i="1" s="1"/>
  <c r="J77" i="1" s="1"/>
  <c r="N74" i="1"/>
  <c r="N22" i="1"/>
  <c r="I25" i="1"/>
  <c r="I66" i="1" s="1"/>
  <c r="I67" i="1" s="1"/>
  <c r="I77" i="1" s="1"/>
  <c r="D66" i="1"/>
  <c r="D67" i="1" s="1"/>
  <c r="D77" i="1" s="1"/>
  <c r="H25" i="1"/>
  <c r="L65" i="1"/>
  <c r="L66" i="1" s="1"/>
  <c r="L67" i="1" s="1"/>
  <c r="L77" i="1" s="1"/>
  <c r="N14" i="1"/>
  <c r="H66" i="1"/>
  <c r="H67" i="1" s="1"/>
  <c r="H77" i="1" s="1"/>
  <c r="C66" i="1"/>
  <c r="C67" i="1" s="1"/>
  <c r="C77" i="1" s="1"/>
  <c r="N75" i="1"/>
  <c r="B15" i="1"/>
  <c r="J15" i="1"/>
  <c r="N19" i="1"/>
  <c r="B66" i="1"/>
  <c r="O14" i="1"/>
  <c r="N21" i="1"/>
  <c r="N40" i="1"/>
  <c r="O74" i="1"/>
  <c r="N30" i="1"/>
  <c r="G115" i="3" l="1"/>
  <c r="G124" i="3" s="1"/>
  <c r="H115" i="3"/>
  <c r="H124" i="3" s="1"/>
  <c r="M115" i="3"/>
  <c r="M124" i="3" s="1"/>
  <c r="I115" i="3"/>
  <c r="I124" i="3" s="1"/>
  <c r="L115" i="3"/>
  <c r="L124" i="3" s="1"/>
  <c r="J115" i="3"/>
  <c r="J124" i="3" s="1"/>
  <c r="K115" i="3"/>
  <c r="K124" i="3" s="1"/>
  <c r="N105" i="3"/>
  <c r="F113" i="3"/>
  <c r="E124" i="3"/>
  <c r="F66" i="1"/>
  <c r="F67" i="1" s="1"/>
  <c r="F77" i="1" s="1"/>
  <c r="G66" i="1"/>
  <c r="G67" i="1" s="1"/>
  <c r="G77" i="1" s="1"/>
  <c r="N65" i="1"/>
  <c r="O25" i="1"/>
  <c r="E66" i="1"/>
  <c r="E67" i="1" s="1"/>
  <c r="E77" i="1" s="1"/>
  <c r="O65" i="1"/>
  <c r="N25" i="1"/>
  <c r="N66" i="1" s="1"/>
  <c r="B67" i="1"/>
  <c r="N15" i="1"/>
  <c r="F115" i="3" l="1"/>
  <c r="F124" i="3" s="1"/>
  <c r="N113" i="3"/>
  <c r="N115" i="3"/>
  <c r="C124" i="3"/>
  <c r="O66" i="1"/>
  <c r="N67" i="1"/>
  <c r="N77" i="1" s="1"/>
  <c r="O67" i="1"/>
  <c r="B77" i="1"/>
  <c r="O77" i="1" s="1"/>
  <c r="N12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tc={449B59A0-9B2D-4BDC-BA4B-9B3170CF25F6}</author>
    <author>tc={2E2F4B91-1ECA-418E-AEB9-8A7B16D0B1F8}</author>
    <author>tc={75918E69-D24D-4A4F-9006-891FF22ED7C6}</author>
    <author>tc={8274BBA0-B024-4A04-B42A-78DC0C6577B8}</author>
    <author>tc={D4D2084C-CCA5-4F78-A1C2-4276738FE9DD}</author>
  </authors>
  <commentList>
    <comment ref="C13" authorId="0" shapeId="0" xr:uid="{449B59A0-9B2D-4BDC-BA4B-9B3170CF25F6}">
      <text>
        <t>[Threaded comment]
Your version of Excel allows you to read this threaded comment; however, any edits to it will get removed if the file is opened in a newer version of Excel. Learn more: https://go.microsoft.com/fwlink/?linkid=870924
Comment:
    PHX Rotary asked for $7,500</t>
      </text>
    </comment>
    <comment ref="C19" authorId="1" shapeId="0" xr:uid="{2E2F4B91-1ECA-418E-AEB9-8A7B16D0B1F8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a City of PHX grant. Entered in budget under 4240 City Grants.</t>
      </text>
    </comment>
    <comment ref="G19" authorId="2" shapeId="0" xr:uid="{75918E69-D24D-4A4F-9006-891FF22ED7C6}">
      <text>
        <t>[Threaded comment]
Your version of Excel allows you to read this threaded comment; however, any edits to it will get removed if the file is opened in a newer version of Excel. Learn more: https://go.microsoft.com/fwlink/?linkid=870924
Comment:
    50% BHHS</t>
      </text>
    </comment>
    <comment ref="M19" authorId="3" shapeId="0" xr:uid="{8274BBA0-B024-4A04-B42A-78DC0C6577B8}">
      <text>
        <t>[Threaded comment]
Your version of Excel allows you to read this threaded comment; however, any edits to it will get removed if the file is opened in a newer version of Excel. Learn more: https://go.microsoft.com/fwlink/?linkid=870924
Comment:
    AHC 50%</t>
      </text>
    </comment>
    <comment ref="C20" authorId="4" shapeId="0" xr:uid="{D4D2084C-CCA5-4F78-A1C2-4276738FE9DD}">
      <text>
        <t>[Threaded comment]
Your version of Excel allows you to read this threaded comment; however, any edits to it will get removed if the file is opened in a newer version of Excel. Learn more: https://go.microsoft.com/fwlink/?linkid=870924
Comment:
    Nicks $3 K at 50%</t>
      </text>
    </comment>
  </commentList>
</comments>
</file>

<file path=xl/sharedStrings.xml><?xml version="1.0" encoding="utf-8"?>
<sst xmlns="http://schemas.openxmlformats.org/spreadsheetml/2006/main" count="178" uniqueCount="127">
  <si>
    <t>Justa Center</t>
  </si>
  <si>
    <t>2023 Final Budget</t>
  </si>
  <si>
    <t>ACTUAL</t>
  </si>
  <si>
    <t>Total 2023 Budget</t>
  </si>
  <si>
    <t>2022 Actual</t>
  </si>
  <si>
    <t>Revenue</t>
  </si>
  <si>
    <t xml:space="preserve">   4000 Donations - Unrestricted</t>
  </si>
  <si>
    <t xml:space="preserve">   4100 Donations - Donor Restricted/Designated</t>
  </si>
  <si>
    <t>.</t>
  </si>
  <si>
    <t xml:space="preserve">   4200 Grants Funded</t>
  </si>
  <si>
    <t xml:space="preserve">   4210 Grants Reimbursed</t>
  </si>
  <si>
    <t xml:space="preserve">   4400 Special Events Income</t>
  </si>
  <si>
    <t xml:space="preserve">   4900 Billable Expenditure Revenue</t>
  </si>
  <si>
    <t xml:space="preserve">   4905 Member Locker Rental Income</t>
  </si>
  <si>
    <t>Total Revenue</t>
  </si>
  <si>
    <t>GROSS REVENUE</t>
  </si>
  <si>
    <t>Expenditures - Payroll</t>
  </si>
  <si>
    <t xml:space="preserve">   7300 Personnel Expenses</t>
  </si>
  <si>
    <t xml:space="preserve">      7305 Salaries &amp; Wages</t>
  </si>
  <si>
    <t xml:space="preserve">      7310 Taxes - Payroll</t>
  </si>
  <si>
    <t xml:space="preserve">      7315 Employee Benefits</t>
  </si>
  <si>
    <t xml:space="preserve">         7316 Retirement Contributions</t>
  </si>
  <si>
    <t xml:space="preserve">         7317 Employee Insurance Expense</t>
  </si>
  <si>
    <t xml:space="preserve">      7320 Workers Compensation Insurance</t>
  </si>
  <si>
    <t xml:space="preserve">      7330 Payroll Service Fee</t>
  </si>
  <si>
    <t xml:space="preserve">   Total 7300 PAYROLL EXPENSE</t>
  </si>
  <si>
    <t>Expenditures - Operating Expense</t>
  </si>
  <si>
    <t xml:space="preserve">      5005 Financial Assistance</t>
  </si>
  <si>
    <t xml:space="preserve">      5010 ID &amp; Documentation Expenses</t>
  </si>
  <si>
    <t xml:space="preserve">      5015 Meals &amp; Food Service</t>
  </si>
  <si>
    <t xml:space="preserve">      5016 Hygiene &amp; Health</t>
  </si>
  <si>
    <t xml:space="preserve">      5017 Rent &amp; Utility Assistance</t>
  </si>
  <si>
    <t xml:space="preserve">      5018 Member Transportation</t>
  </si>
  <si>
    <t xml:space="preserve">   5020 Home Starter Kits</t>
  </si>
  <si>
    <t xml:space="preserve">      5025 Furniture, non-capital</t>
  </si>
  <si>
    <t xml:space="preserve">   5090 Volunteer Programs</t>
  </si>
  <si>
    <t xml:space="preserve">   5100 Supplies</t>
  </si>
  <si>
    <t xml:space="preserve">   5105 Printing</t>
  </si>
  <si>
    <t xml:space="preserve">   5200 Storage Rental</t>
  </si>
  <si>
    <t xml:space="preserve">      5305 Property Lease</t>
  </si>
  <si>
    <t xml:space="preserve">      5310 Pest Control</t>
  </si>
  <si>
    <t xml:space="preserve">      5315 Utilities</t>
  </si>
  <si>
    <t xml:space="preserve">      5317 Trash Services</t>
  </si>
  <si>
    <t xml:space="preserve">      5320 Facilities Repairs &amp; Maintenance</t>
  </si>
  <si>
    <t xml:space="preserve">      5325 Internet &amp; Telephone</t>
  </si>
  <si>
    <t xml:space="preserve">   5500 Equipment &amp; Maintenance</t>
  </si>
  <si>
    <t xml:space="preserve">      5605 Fuel</t>
  </si>
  <si>
    <t xml:space="preserve">      5610 Vehicle Repairs &amp; Maintenance</t>
  </si>
  <si>
    <t xml:space="preserve">      5615 Vehicle License</t>
  </si>
  <si>
    <t xml:space="preserve">      5705 Accounting</t>
  </si>
  <si>
    <t xml:space="preserve">      5710 IT Services</t>
  </si>
  <si>
    <t xml:space="preserve">      5715 Legal Fees</t>
  </si>
  <si>
    <t xml:space="preserve">   5720 Grant Writing</t>
  </si>
  <si>
    <t xml:space="preserve">   5725 Security</t>
  </si>
  <si>
    <t xml:space="preserve">   5800 Bank Fees</t>
  </si>
  <si>
    <t xml:space="preserve">   5850 Dues &amp; Subscriptions</t>
  </si>
  <si>
    <t xml:space="preserve">   5900 Education &amp; Training</t>
  </si>
  <si>
    <t xml:space="preserve">   6000 Insurance</t>
  </si>
  <si>
    <t xml:space="preserve">      6105 Hardware</t>
  </si>
  <si>
    <t xml:space="preserve">      6110 Software &amp; SAAS</t>
  </si>
  <si>
    <t xml:space="preserve">   7000 - Special Event Expense</t>
  </si>
  <si>
    <t xml:space="preserve">   7100 Postage &amp; Direct Mail</t>
  </si>
  <si>
    <t xml:space="preserve">   7200 Promotion &amp; Advertising</t>
  </si>
  <si>
    <t xml:space="preserve">   7800 Other Misc Cost</t>
  </si>
  <si>
    <t>Total OPERATING EXPENSE</t>
  </si>
  <si>
    <t>TOTAL EXPENDITURES</t>
  </si>
  <si>
    <t>NET OPERATING INCOME</t>
  </si>
  <si>
    <t>Other Revenue (Expense)</t>
  </si>
  <si>
    <t xml:space="preserve">   8000 Interest Income</t>
  </si>
  <si>
    <t xml:space="preserve">   8001 Gains/(Losses) on Investments</t>
  </si>
  <si>
    <t>8100 In-Kind Revenue - Goods</t>
  </si>
  <si>
    <t xml:space="preserve">   9000 Depreciation Expense</t>
  </si>
  <si>
    <t>Total Other Revenue (Expense)</t>
  </si>
  <si>
    <t>Total Other</t>
  </si>
  <si>
    <t>NET INCOME</t>
  </si>
  <si>
    <t>2023 Budget Worksheet</t>
  </si>
  <si>
    <t>Total 2024 Budget</t>
  </si>
  <si>
    <t>2023 Actual</t>
  </si>
  <si>
    <t xml:space="preserve">    4010 Indvidual Donations</t>
  </si>
  <si>
    <t xml:space="preserve">    4010 Business Donations</t>
  </si>
  <si>
    <t xml:space="preserve">   4030 Faith Based Donations</t>
  </si>
  <si>
    <t xml:space="preserve">   4040 Civic Groups</t>
  </si>
  <si>
    <t xml:space="preserve">   4050 Foundations</t>
  </si>
  <si>
    <t>Total Unrestricted Donations</t>
  </si>
  <si>
    <t xml:space="preserve">   4200 Restircted Donations Grants</t>
  </si>
  <si>
    <t xml:space="preserve">    4220 State</t>
  </si>
  <si>
    <t xml:space="preserve">    4250 Foundations/Trusts</t>
  </si>
  <si>
    <t xml:space="preserve">     4260 Faith Based</t>
  </si>
  <si>
    <t xml:space="preserve">      4280 Corporate</t>
  </si>
  <si>
    <t xml:space="preserve">   4300 Grants Reimbursed</t>
  </si>
  <si>
    <t xml:space="preserve">    4400 Special Events Income</t>
  </si>
  <si>
    <t xml:space="preserve">     4900 Billable Grant Exp Revenue</t>
  </si>
  <si>
    <t xml:space="preserve">     4905 Locker Revenue</t>
  </si>
  <si>
    <t xml:space="preserve">      4998 Uncategorized Income</t>
  </si>
  <si>
    <t xml:space="preserve">Total Operating Revenue </t>
  </si>
  <si>
    <t xml:space="preserve">        7317 Health, Diasabiltiy, Life Insurance</t>
  </si>
  <si>
    <t xml:space="preserve">      5010 ID &amp; Documentation</t>
  </si>
  <si>
    <t xml:space="preserve">      5019 Heat Relief</t>
  </si>
  <si>
    <t xml:space="preserve"> Total 5000 Direct Assistance</t>
  </si>
  <si>
    <t xml:space="preserve">      5320 Facilties Repair</t>
  </si>
  <si>
    <t>Total 5300 Occupancy</t>
  </si>
  <si>
    <t xml:space="preserve">   5600 Fleet</t>
  </si>
  <si>
    <t xml:space="preserve">       5610 Vehicle Repairs</t>
  </si>
  <si>
    <t xml:space="preserve"> Total 5600 Fleet</t>
  </si>
  <si>
    <t>5700 Professional Services</t>
  </si>
  <si>
    <t xml:space="preserve">   Total 5700 Professional Services</t>
  </si>
  <si>
    <t xml:space="preserve">    5810 CC Processing Fees</t>
  </si>
  <si>
    <t xml:space="preserve">   7250 Promotional Meals</t>
  </si>
  <si>
    <t>Total OPERATING EXPENSE Before Other</t>
  </si>
  <si>
    <t xml:space="preserve">     7800 Miscellaneous Costs</t>
  </si>
  <si>
    <t xml:space="preserve">      7802 Recruiting</t>
  </si>
  <si>
    <t xml:space="preserve">      7803 Staff and Staff Meetings</t>
  </si>
  <si>
    <t xml:space="preserve">    7999 Uncategorized Expense</t>
  </si>
  <si>
    <t xml:space="preserve">     9000 Depreciation Expense</t>
  </si>
  <si>
    <t xml:space="preserve">        5001 Miscellaneous Direct Assistance</t>
  </si>
  <si>
    <t xml:space="preserve">      5721 Miscellaneous Professional Services</t>
  </si>
  <si>
    <t>Total 4200 Restricted Donations</t>
  </si>
  <si>
    <t xml:space="preserve">  6100 Technology</t>
  </si>
  <si>
    <t>Total 6100 Technology</t>
  </si>
  <si>
    <t xml:space="preserve">     </t>
  </si>
  <si>
    <t xml:space="preserve">   9999 Reconciliation Gift Card Expense</t>
  </si>
  <si>
    <t xml:space="preserve">   4060 Donated Gift Cards</t>
  </si>
  <si>
    <t xml:space="preserve">        7319 Garnishments</t>
  </si>
  <si>
    <t xml:space="preserve">    4100 Retricted Individual Donations</t>
  </si>
  <si>
    <t>2024 Final Budget- Monthly</t>
  </si>
  <si>
    <t xml:space="preserve">      7303 Salaries &amp; Wages</t>
  </si>
  <si>
    <t xml:space="preserve">      7311 Taxes -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</si>
</sst>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_€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_(&quot;$&quot;* #,##0.000_);_(&quot;$&quot;* \(#,##0.000\);_(&quot;$&quot;* &quot;-&quot;??_);_(@_)"/>
    <numFmt numFmtId="168" formatCode="_(&quot;$&quot;* #,##0.0000_);_(&quot;$&quot;* \(#,##0.0000\);_(&quot;$&quot;* &quot;-&quot;??_);_(@_)"/>
    <numFmt numFmtId="169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 val="singleAccounting"/>
      <sz val="8"/>
      <color indexed="8"/>
      <name val="Arial"/>
      <family val="2"/>
    </font>
    <font>
      <u val="singleAccounting"/>
      <sz val="8"/>
      <color indexed="8"/>
      <name val="Arial"/>
      <family val="2"/>
    </font>
    <font>
      <u val="sing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8"/>
      <name val="Arial"/>
      <family val="2"/>
    </font>
    <font>
      <b/>
      <u val="doubleAccounting"/>
      <sz val="8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 val="singleAccounting"/>
      <sz val="10"/>
      <color indexed="8"/>
      <name val="Arial"/>
      <family val="2"/>
    </font>
    <font>
      <u val="singleAccounting"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79">
    <xf numFmtId="0" fontId="0" fillId="0" borderId="0" xfId="0"/>
    <xf numFmtId="0" fontId="0" fillId="0" borderId="0" xfId="0" applyAlignment="1">
      <alignment wrapText="1"/>
    </xf>
    <xf numFmtId="17" fontId="4" fillId="2" borderId="2" xfId="0" applyNumberFormat="1" applyFont="1" applyFill="1" applyBorder="1" applyAlignment="1">
      <alignment horizontal="center" wrapText="1"/>
    </xf>
    <xf numFmtId="17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164" fontId="6" fillId="2" borderId="0" xfId="0" applyNumberFormat="1" applyFont="1" applyFill="1" applyAlignment="1">
      <alignment wrapText="1"/>
    </xf>
    <xf numFmtId="164" fontId="6" fillId="0" borderId="0" xfId="0" applyNumberFormat="1" applyFont="1" applyAlignment="1">
      <alignment wrapText="1"/>
    </xf>
    <xf numFmtId="6" fontId="5" fillId="0" borderId="0" xfId="0" applyNumberFormat="1" applyFont="1" applyAlignment="1">
      <alignment horizontal="left" wrapText="1"/>
    </xf>
    <xf numFmtId="6" fontId="6" fillId="2" borderId="0" xfId="0" applyNumberFormat="1" applyFont="1" applyFill="1" applyAlignment="1">
      <alignment horizontal="right" wrapText="1"/>
    </xf>
    <xf numFmtId="6" fontId="6" fillId="0" borderId="0" xfId="0" applyNumberFormat="1" applyFont="1" applyAlignment="1">
      <alignment horizontal="right" wrapText="1"/>
    </xf>
    <xf numFmtId="6" fontId="6" fillId="0" borderId="0" xfId="0" applyNumberFormat="1" applyFont="1" applyAlignment="1">
      <alignment wrapText="1"/>
    </xf>
    <xf numFmtId="6" fontId="6" fillId="2" borderId="0" xfId="0" applyNumberFormat="1" applyFont="1" applyFill="1" applyAlignment="1">
      <alignment wrapText="1"/>
    </xf>
    <xf numFmtId="6" fontId="5" fillId="2" borderId="3" xfId="0" applyNumberFormat="1" applyFont="1" applyFill="1" applyBorder="1" applyAlignment="1">
      <alignment horizontal="right" wrapText="1"/>
    </xf>
    <xf numFmtId="6" fontId="5" fillId="0" borderId="3" xfId="0" applyNumberFormat="1" applyFont="1" applyBorder="1" applyAlignment="1">
      <alignment horizontal="right" wrapText="1"/>
    </xf>
    <xf numFmtId="8" fontId="0" fillId="0" borderId="0" xfId="0" applyNumberFormat="1"/>
    <xf numFmtId="8" fontId="6" fillId="2" borderId="0" xfId="0" applyNumberFormat="1" applyFont="1" applyFill="1" applyAlignment="1">
      <alignment wrapText="1"/>
    </xf>
    <xf numFmtId="8" fontId="6" fillId="0" borderId="0" xfId="0" applyNumberFormat="1" applyFont="1" applyAlignment="1">
      <alignment wrapText="1"/>
    </xf>
    <xf numFmtId="8" fontId="6" fillId="2" borderId="4" xfId="0" applyNumberFormat="1" applyFont="1" applyFill="1" applyBorder="1" applyAlignment="1">
      <alignment wrapText="1"/>
    </xf>
    <xf numFmtId="8" fontId="6" fillId="0" borderId="4" xfId="0" applyNumberFormat="1" applyFont="1" applyBorder="1" applyAlignment="1">
      <alignment wrapText="1"/>
    </xf>
    <xf numFmtId="8" fontId="6" fillId="2" borderId="0" xfId="0" applyNumberFormat="1" applyFont="1" applyFill="1" applyAlignment="1">
      <alignment horizontal="right" wrapText="1"/>
    </xf>
    <xf numFmtId="8" fontId="6" fillId="0" borderId="0" xfId="0" applyNumberFormat="1" applyFont="1" applyAlignment="1">
      <alignment horizontal="right" wrapText="1"/>
    </xf>
    <xf numFmtId="8" fontId="5" fillId="2" borderId="3" xfId="0" applyNumberFormat="1" applyFont="1" applyFill="1" applyBorder="1" applyAlignment="1">
      <alignment horizontal="right" wrapText="1"/>
    </xf>
    <xf numFmtId="8" fontId="5" fillId="0" borderId="3" xfId="0" applyNumberFormat="1" applyFont="1" applyBorder="1" applyAlignment="1">
      <alignment horizontal="right" wrapText="1"/>
    </xf>
    <xf numFmtId="8" fontId="5" fillId="2" borderId="0" xfId="0" applyNumberFormat="1" applyFont="1" applyFill="1" applyAlignment="1">
      <alignment horizontal="right" wrapText="1"/>
    </xf>
    <xf numFmtId="8" fontId="5" fillId="0" borderId="0" xfId="0" applyNumberFormat="1" applyFont="1" applyAlignment="1">
      <alignment horizontal="right" wrapText="1"/>
    </xf>
    <xf numFmtId="165" fontId="0" fillId="0" borderId="0" xfId="1" applyNumberFormat="1" applyFont="1"/>
    <xf numFmtId="166" fontId="0" fillId="0" borderId="0" xfId="1" applyNumberFormat="1" applyFont="1"/>
    <xf numFmtId="166" fontId="1" fillId="0" borderId="0" xfId="1" applyNumberFormat="1" applyFont="1" applyAlignment="1">
      <alignment horizontal="center"/>
    </xf>
    <xf numFmtId="166" fontId="4" fillId="0" borderId="2" xfId="1" applyNumberFormat="1" applyFont="1" applyBorder="1" applyAlignment="1">
      <alignment horizontal="center" wrapText="1"/>
    </xf>
    <xf numFmtId="166" fontId="5" fillId="0" borderId="0" xfId="1" applyNumberFormat="1" applyFont="1" applyAlignment="1">
      <alignment horizontal="left" wrapText="1"/>
    </xf>
    <xf numFmtId="166" fontId="6" fillId="2" borderId="0" xfId="1" applyNumberFormat="1" applyFont="1" applyFill="1" applyAlignment="1">
      <alignment wrapText="1"/>
    </xf>
    <xf numFmtId="166" fontId="6" fillId="0" borderId="0" xfId="1" applyNumberFormat="1" applyFont="1" applyAlignment="1">
      <alignment wrapText="1"/>
    </xf>
    <xf numFmtId="166" fontId="6" fillId="2" borderId="0" xfId="1" applyNumberFormat="1" applyFont="1" applyFill="1" applyAlignment="1">
      <alignment horizontal="right" wrapText="1"/>
    </xf>
    <xf numFmtId="166" fontId="5" fillId="2" borderId="0" xfId="1" applyNumberFormat="1" applyFont="1" applyFill="1" applyAlignment="1">
      <alignment horizontal="right" wrapText="1"/>
    </xf>
    <xf numFmtId="165" fontId="0" fillId="0" borderId="0" xfId="0" applyNumberFormat="1"/>
    <xf numFmtId="166" fontId="0" fillId="0" borderId="0" xfId="0" applyNumberFormat="1"/>
    <xf numFmtId="166" fontId="8" fillId="0" borderId="0" xfId="1" applyNumberFormat="1" applyFont="1"/>
    <xf numFmtId="14" fontId="0" fillId="0" borderId="0" xfId="1" applyNumberFormat="1" applyFont="1" applyAlignment="1">
      <alignment wrapText="1"/>
    </xf>
    <xf numFmtId="14" fontId="4" fillId="2" borderId="2" xfId="1" applyNumberFormat="1" applyFont="1" applyFill="1" applyBorder="1" applyAlignment="1">
      <alignment horizontal="center" wrapText="1"/>
    </xf>
    <xf numFmtId="14" fontId="4" fillId="4" borderId="2" xfId="1" applyNumberFormat="1" applyFont="1" applyFill="1" applyBorder="1" applyAlignment="1">
      <alignment horizontal="center" wrapText="1"/>
    </xf>
    <xf numFmtId="166" fontId="4" fillId="4" borderId="2" xfId="1" applyNumberFormat="1" applyFont="1" applyFill="1" applyBorder="1" applyAlignment="1">
      <alignment horizontal="center" wrapText="1"/>
    </xf>
    <xf numFmtId="166" fontId="5" fillId="4" borderId="0" xfId="1" applyNumberFormat="1" applyFont="1" applyFill="1" applyAlignment="1">
      <alignment horizontal="right" wrapText="1"/>
    </xf>
    <xf numFmtId="166" fontId="0" fillId="4" borderId="0" xfId="1" applyNumberFormat="1" applyFont="1" applyFill="1"/>
    <xf numFmtId="0" fontId="0" fillId="4" borderId="0" xfId="0" applyFill="1"/>
    <xf numFmtId="166" fontId="5" fillId="0" borderId="0" xfId="1" applyNumberFormat="1" applyFont="1" applyFill="1" applyAlignment="1">
      <alignment horizontal="left" wrapText="1"/>
    </xf>
    <xf numFmtId="166" fontId="6" fillId="0" borderId="0" xfId="1" applyNumberFormat="1" applyFont="1" applyFill="1" applyAlignment="1">
      <alignment horizontal="right" wrapText="1"/>
    </xf>
    <xf numFmtId="166" fontId="5" fillId="2" borderId="0" xfId="1" applyNumberFormat="1" applyFont="1" applyFill="1" applyBorder="1" applyAlignment="1">
      <alignment horizontal="right" wrapText="1"/>
    </xf>
    <xf numFmtId="166" fontId="11" fillId="2" borderId="0" xfId="1" applyNumberFormat="1" applyFont="1" applyFill="1" applyBorder="1" applyAlignment="1">
      <alignment horizontal="right" wrapText="1"/>
    </xf>
    <xf numFmtId="166" fontId="12" fillId="2" borderId="0" xfId="1" applyNumberFormat="1" applyFont="1" applyFill="1" applyAlignment="1">
      <alignment wrapText="1"/>
    </xf>
    <xf numFmtId="166" fontId="12" fillId="2" borderId="0" xfId="1" applyNumberFormat="1" applyFont="1" applyFill="1" applyAlignment="1">
      <alignment horizontal="right" wrapText="1"/>
    </xf>
    <xf numFmtId="165" fontId="0" fillId="0" borderId="0" xfId="1" applyNumberFormat="1" applyFont="1" applyFill="1"/>
    <xf numFmtId="166" fontId="5" fillId="5" borderId="0" xfId="1" applyNumberFormat="1" applyFont="1" applyFill="1" applyBorder="1" applyAlignment="1">
      <alignment horizontal="right" wrapText="1"/>
    </xf>
    <xf numFmtId="166" fontId="6" fillId="5" borderId="0" xfId="1" applyNumberFormat="1" applyFont="1" applyFill="1" applyAlignment="1">
      <alignment wrapText="1"/>
    </xf>
    <xf numFmtId="166" fontId="6" fillId="5" borderId="0" xfId="1" applyNumberFormat="1" applyFont="1" applyFill="1" applyAlignment="1">
      <alignment horizontal="right" wrapText="1"/>
    </xf>
    <xf numFmtId="169" fontId="6" fillId="5" borderId="0" xfId="2" applyNumberFormat="1" applyFont="1" applyFill="1" applyAlignment="1">
      <alignment horizontal="right" wrapText="1"/>
    </xf>
    <xf numFmtId="166" fontId="12" fillId="5" borderId="0" xfId="1" applyNumberFormat="1" applyFont="1" applyFill="1" applyAlignment="1">
      <alignment wrapText="1"/>
    </xf>
    <xf numFmtId="169" fontId="12" fillId="5" borderId="0" xfId="2" applyNumberFormat="1" applyFont="1" applyFill="1" applyAlignment="1">
      <alignment horizontal="right" wrapText="1"/>
    </xf>
    <xf numFmtId="166" fontId="12" fillId="5" borderId="0" xfId="1" applyNumberFormat="1" applyFont="1" applyFill="1" applyAlignment="1">
      <alignment horizontal="right" wrapText="1"/>
    </xf>
    <xf numFmtId="0" fontId="0" fillId="5" borderId="0" xfId="0" applyFill="1"/>
    <xf numFmtId="166" fontId="12" fillId="5" borderId="2" xfId="1" applyNumberFormat="1" applyFont="1" applyFill="1" applyBorder="1" applyAlignment="1">
      <alignment horizontal="right" wrapText="1"/>
    </xf>
    <xf numFmtId="166" fontId="6" fillId="5" borderId="2" xfId="1" applyNumberFormat="1" applyFont="1" applyFill="1" applyBorder="1" applyAlignment="1">
      <alignment wrapText="1"/>
    </xf>
    <xf numFmtId="166" fontId="6" fillId="5" borderId="2" xfId="1" applyNumberFormat="1" applyFont="1" applyFill="1" applyBorder="1" applyAlignment="1">
      <alignment horizontal="right" wrapText="1"/>
    </xf>
    <xf numFmtId="166" fontId="12" fillId="5" borderId="2" xfId="1" applyNumberFormat="1" applyFont="1" applyFill="1" applyBorder="1" applyAlignment="1">
      <alignment wrapText="1"/>
    </xf>
    <xf numFmtId="169" fontId="6" fillId="5" borderId="0" xfId="2" applyNumberFormat="1" applyFont="1" applyFill="1" applyAlignment="1">
      <alignment wrapText="1"/>
    </xf>
    <xf numFmtId="166" fontId="5" fillId="5" borderId="0" xfId="1" applyNumberFormat="1" applyFont="1" applyFill="1" applyAlignment="1">
      <alignment horizontal="right" wrapText="1"/>
    </xf>
    <xf numFmtId="166" fontId="0" fillId="5" borderId="0" xfId="1" applyNumberFormat="1" applyFont="1" applyFill="1"/>
    <xf numFmtId="166" fontId="0" fillId="0" borderId="0" xfId="1" applyNumberFormat="1" applyFont="1" applyFill="1"/>
    <xf numFmtId="166" fontId="11" fillId="0" borderId="3" xfId="1" applyNumberFormat="1" applyFont="1" applyFill="1" applyBorder="1" applyAlignment="1">
      <alignment horizontal="right" wrapText="1"/>
    </xf>
    <xf numFmtId="166" fontId="13" fillId="0" borderId="0" xfId="1" applyNumberFormat="1" applyFont="1"/>
    <xf numFmtId="166" fontId="11" fillId="0" borderId="0" xfId="1" applyNumberFormat="1" applyFont="1" applyAlignment="1">
      <alignment horizontal="left" wrapText="1"/>
    </xf>
    <xf numFmtId="166" fontId="11" fillId="0" borderId="0" xfId="1" applyNumberFormat="1" applyFont="1" applyFill="1" applyBorder="1" applyAlignment="1">
      <alignment horizontal="right" wrapText="1"/>
    </xf>
    <xf numFmtId="166" fontId="11" fillId="2" borderId="2" xfId="1" applyNumberFormat="1" applyFont="1" applyFill="1" applyBorder="1" applyAlignment="1">
      <alignment horizontal="right" wrapText="1"/>
    </xf>
    <xf numFmtId="166" fontId="14" fillId="0" borderId="0" xfId="1" applyNumberFormat="1" applyFont="1"/>
    <xf numFmtId="166" fontId="6" fillId="6" borderId="0" xfId="1" applyNumberFormat="1" applyFont="1" applyFill="1" applyAlignment="1">
      <alignment horizontal="right" wrapText="1"/>
    </xf>
    <xf numFmtId="166" fontId="11" fillId="4" borderId="0" xfId="1" applyNumberFormat="1" applyFont="1" applyFill="1" applyAlignment="1">
      <alignment horizontal="right" wrapText="1"/>
    </xf>
    <xf numFmtId="166" fontId="6" fillId="5" borderId="0" xfId="1" applyNumberFormat="1" applyFont="1" applyFill="1" applyBorder="1" applyAlignment="1">
      <alignment horizontal="right" wrapText="1"/>
    </xf>
    <xf numFmtId="166" fontId="6" fillId="2" borderId="0" xfId="1" applyNumberFormat="1" applyFont="1" applyFill="1" applyBorder="1" applyAlignment="1">
      <alignment horizontal="right" wrapText="1"/>
    </xf>
    <xf numFmtId="166" fontId="6" fillId="6" borderId="0" xfId="1" applyNumberFormat="1" applyFont="1" applyFill="1" applyBorder="1" applyAlignment="1">
      <alignment horizontal="right" wrapText="1"/>
    </xf>
    <xf numFmtId="166" fontId="11" fillId="6" borderId="0" xfId="1" applyNumberFormat="1" applyFont="1" applyFill="1" applyBorder="1" applyAlignment="1">
      <alignment horizontal="right" wrapText="1"/>
    </xf>
    <xf numFmtId="166" fontId="5" fillId="4" borderId="2" xfId="1" applyNumberFormat="1" applyFont="1" applyFill="1" applyBorder="1" applyAlignment="1">
      <alignment horizontal="right" wrapText="1"/>
    </xf>
    <xf numFmtId="44" fontId="0" fillId="0" borderId="0" xfId="1" applyFont="1" applyFill="1"/>
    <xf numFmtId="166" fontId="7" fillId="0" borderId="0" xfId="1" applyNumberFormat="1" applyFont="1"/>
    <xf numFmtId="166" fontId="6" fillId="0" borderId="0" xfId="1" applyNumberFormat="1" applyFont="1" applyFill="1" applyBorder="1" applyAlignment="1">
      <alignment horizontal="right" wrapText="1"/>
    </xf>
    <xf numFmtId="166" fontId="12" fillId="0" borderId="0" xfId="1" applyNumberFormat="1" applyFont="1" applyFill="1" applyBorder="1" applyAlignment="1">
      <alignment horizontal="right" wrapText="1"/>
    </xf>
    <xf numFmtId="166" fontId="5" fillId="6" borderId="0" xfId="1" applyNumberFormat="1" applyFont="1" applyFill="1" applyBorder="1" applyAlignment="1">
      <alignment horizontal="right" wrapText="1"/>
    </xf>
    <xf numFmtId="166" fontId="11" fillId="6" borderId="2" xfId="1" applyNumberFormat="1" applyFont="1" applyFill="1" applyBorder="1" applyAlignment="1">
      <alignment horizontal="right" wrapText="1"/>
    </xf>
    <xf numFmtId="168" fontId="0" fillId="0" borderId="0" xfId="1" applyNumberFormat="1" applyFont="1" applyFill="1"/>
    <xf numFmtId="166" fontId="9" fillId="0" borderId="0" xfId="1" applyNumberFormat="1" applyFont="1" applyFill="1"/>
    <xf numFmtId="166" fontId="8" fillId="0" borderId="0" xfId="1" applyNumberFormat="1" applyFont="1" applyFill="1"/>
    <xf numFmtId="166" fontId="10" fillId="0" borderId="0" xfId="1" applyNumberFormat="1" applyFont="1" applyFill="1"/>
    <xf numFmtId="167" fontId="0" fillId="0" borderId="0" xfId="1" applyNumberFormat="1" applyFont="1" applyFill="1"/>
    <xf numFmtId="166" fontId="8" fillId="0" borderId="5" xfId="1" applyNumberFormat="1" applyFont="1" applyBorder="1"/>
    <xf numFmtId="166" fontId="11" fillId="5" borderId="0" xfId="1" applyNumberFormat="1" applyFont="1" applyFill="1" applyAlignment="1">
      <alignment horizontal="right" wrapText="1"/>
    </xf>
    <xf numFmtId="166" fontId="5" fillId="2" borderId="4" xfId="1" applyNumberFormat="1" applyFont="1" applyFill="1" applyBorder="1" applyAlignment="1">
      <alignment horizontal="right" wrapText="1"/>
    </xf>
    <xf numFmtId="166" fontId="8" fillId="0" borderId="2" xfId="1" applyNumberFormat="1" applyFont="1" applyBorder="1"/>
    <xf numFmtId="165" fontId="0" fillId="0" borderId="0" xfId="1" applyNumberFormat="1" applyFont="1" applyBorder="1"/>
    <xf numFmtId="166" fontId="0" fillId="0" borderId="0" xfId="1" applyNumberFormat="1" applyFont="1" applyBorder="1"/>
    <xf numFmtId="166" fontId="6" fillId="0" borderId="0" xfId="1" applyNumberFormat="1" applyFont="1" applyFill="1" applyBorder="1" applyAlignment="1">
      <alignment wrapText="1"/>
    </xf>
    <xf numFmtId="166" fontId="6" fillId="2" borderId="2" xfId="1" applyNumberFormat="1" applyFont="1" applyFill="1" applyBorder="1" applyAlignment="1">
      <alignment wrapText="1"/>
    </xf>
    <xf numFmtId="169" fontId="6" fillId="5" borderId="2" xfId="2" applyNumberFormat="1" applyFont="1" applyFill="1" applyBorder="1" applyAlignment="1">
      <alignment horizontal="right" wrapText="1"/>
    </xf>
    <xf numFmtId="166" fontId="5" fillId="0" borderId="4" xfId="1" applyNumberFormat="1" applyFont="1" applyFill="1" applyBorder="1" applyAlignment="1">
      <alignment horizontal="right" wrapText="1"/>
    </xf>
    <xf numFmtId="166" fontId="5" fillId="0" borderId="0" xfId="1" applyNumberFormat="1" applyFont="1" applyFill="1" applyBorder="1" applyAlignment="1">
      <alignment horizontal="right" wrapText="1"/>
    </xf>
    <xf numFmtId="166" fontId="6" fillId="2" borderId="2" xfId="1" applyNumberFormat="1" applyFont="1" applyFill="1" applyBorder="1" applyAlignment="1">
      <alignment horizontal="right" wrapText="1"/>
    </xf>
    <xf numFmtId="166" fontId="8" fillId="0" borderId="0" xfId="0" applyNumberFormat="1" applyFont="1"/>
    <xf numFmtId="166" fontId="8" fillId="5" borderId="0" xfId="0" applyNumberFormat="1" applyFont="1" applyFill="1"/>
    <xf numFmtId="169" fontId="5" fillId="5" borderId="0" xfId="2" applyNumberFormat="1" applyFont="1" applyFill="1" applyAlignment="1">
      <alignment horizontal="right" wrapText="1"/>
    </xf>
    <xf numFmtId="166" fontId="5" fillId="0" borderId="0" xfId="1" applyNumberFormat="1" applyFont="1" applyFill="1" applyAlignment="1">
      <alignment horizontal="right" wrapText="1"/>
    </xf>
    <xf numFmtId="166" fontId="15" fillId="2" borderId="0" xfId="1" applyNumberFormat="1" applyFont="1" applyFill="1" applyAlignment="1">
      <alignment wrapText="1"/>
    </xf>
    <xf numFmtId="166" fontId="5" fillId="2" borderId="0" xfId="1" applyNumberFormat="1" applyFont="1" applyFill="1" applyAlignment="1">
      <alignment wrapText="1"/>
    </xf>
    <xf numFmtId="166" fontId="5" fillId="5" borderId="0" xfId="1" applyNumberFormat="1" applyFont="1" applyFill="1" applyAlignment="1">
      <alignment wrapText="1"/>
    </xf>
    <xf numFmtId="166" fontId="6" fillId="2" borderId="0" xfId="1" applyNumberFormat="1" applyFont="1" applyFill="1" applyBorder="1" applyAlignment="1">
      <alignment wrapText="1"/>
    </xf>
    <xf numFmtId="166" fontId="6" fillId="5" borderId="0" xfId="1" applyNumberFormat="1" applyFont="1" applyFill="1" applyBorder="1" applyAlignment="1">
      <alignment wrapText="1"/>
    </xf>
    <xf numFmtId="169" fontId="6" fillId="5" borderId="0" xfId="2" applyNumberFormat="1" applyFont="1" applyFill="1" applyBorder="1" applyAlignment="1">
      <alignment horizontal="right" wrapText="1"/>
    </xf>
    <xf numFmtId="165" fontId="13" fillId="0" borderId="0" xfId="1" applyNumberFormat="1" applyFont="1" applyBorder="1"/>
    <xf numFmtId="166" fontId="5" fillId="2" borderId="0" xfId="1" applyNumberFormat="1" applyFont="1" applyFill="1" applyBorder="1" applyAlignment="1">
      <alignment wrapText="1"/>
    </xf>
    <xf numFmtId="166" fontId="5" fillId="5" borderId="0" xfId="1" applyNumberFormat="1" applyFont="1" applyFill="1" applyBorder="1" applyAlignment="1">
      <alignment wrapText="1"/>
    </xf>
    <xf numFmtId="165" fontId="0" fillId="0" borderId="2" xfId="1" applyNumberFormat="1" applyFont="1" applyBorder="1"/>
    <xf numFmtId="166" fontId="0" fillId="0" borderId="2" xfId="1" applyNumberFormat="1" applyFont="1" applyBorder="1"/>
    <xf numFmtId="166" fontId="7" fillId="0" borderId="0" xfId="1" applyNumberFormat="1" applyFont="1" applyFill="1" applyBorder="1"/>
    <xf numFmtId="166" fontId="5" fillId="0" borderId="0" xfId="1" applyNumberFormat="1" applyFont="1" applyFill="1" applyAlignment="1">
      <alignment wrapText="1"/>
    </xf>
    <xf numFmtId="169" fontId="12" fillId="5" borderId="0" xfId="2" applyNumberFormat="1" applyFont="1" applyFill="1" applyBorder="1" applyAlignment="1">
      <alignment horizontal="right" wrapText="1"/>
    </xf>
    <xf numFmtId="165" fontId="8" fillId="0" borderId="0" xfId="1" applyNumberFormat="1" applyFont="1"/>
    <xf numFmtId="166" fontId="5" fillId="0" borderId="0" xfId="1" applyNumberFormat="1" applyFont="1" applyFill="1" applyBorder="1" applyAlignment="1">
      <alignment wrapText="1"/>
    </xf>
    <xf numFmtId="166" fontId="0" fillId="3" borderId="0" xfId="1" applyNumberFormat="1" applyFont="1" applyFill="1" applyBorder="1"/>
    <xf numFmtId="0" fontId="0" fillId="7" borderId="0" xfId="0" applyFill="1"/>
    <xf numFmtId="166" fontId="5" fillId="2" borderId="2" xfId="1" applyNumberFormat="1" applyFont="1" applyFill="1" applyBorder="1" applyAlignment="1">
      <alignment wrapText="1"/>
    </xf>
    <xf numFmtId="166" fontId="5" fillId="2" borderId="2" xfId="1" applyNumberFormat="1" applyFont="1" applyFill="1" applyBorder="1" applyAlignment="1">
      <alignment horizontal="right" wrapText="1"/>
    </xf>
    <xf numFmtId="166" fontId="5" fillId="0" borderId="2" xfId="1" applyNumberFormat="1" applyFont="1" applyFill="1" applyBorder="1" applyAlignment="1">
      <alignment horizontal="right" wrapText="1"/>
    </xf>
    <xf numFmtId="166" fontId="6" fillId="7" borderId="2" xfId="1" applyNumberFormat="1" applyFont="1" applyFill="1" applyBorder="1" applyAlignment="1">
      <alignment wrapText="1"/>
    </xf>
    <xf numFmtId="166" fontId="8" fillId="7" borderId="0" xfId="0" applyNumberFormat="1" applyFont="1" applyFill="1"/>
    <xf numFmtId="166" fontId="5" fillId="2" borderId="5" xfId="1" applyNumberFormat="1" applyFont="1" applyFill="1" applyBorder="1" applyAlignment="1">
      <alignment horizontal="right" wrapText="1"/>
    </xf>
    <xf numFmtId="166" fontId="12" fillId="5" borderId="0" xfId="1" applyNumberFormat="1" applyFont="1" applyFill="1" applyBorder="1" applyAlignment="1">
      <alignment wrapText="1"/>
    </xf>
    <xf numFmtId="169" fontId="5" fillId="5" borderId="2" xfId="2" applyNumberFormat="1" applyFont="1" applyFill="1" applyBorder="1" applyAlignment="1">
      <alignment wrapText="1"/>
    </xf>
    <xf numFmtId="169" fontId="5" fillId="0" borderId="4" xfId="2" applyNumberFormat="1" applyFont="1" applyFill="1" applyBorder="1" applyAlignment="1">
      <alignment horizontal="right" wrapText="1"/>
    </xf>
    <xf numFmtId="169" fontId="5" fillId="0" borderId="0" xfId="2" applyNumberFormat="1" applyFont="1" applyFill="1" applyBorder="1" applyAlignment="1">
      <alignment wrapText="1"/>
    </xf>
    <xf numFmtId="166" fontId="5" fillId="8" borderId="2" xfId="1" applyNumberFormat="1" applyFont="1" applyFill="1" applyBorder="1" applyAlignment="1">
      <alignment wrapText="1"/>
    </xf>
    <xf numFmtId="166" fontId="15" fillId="0" borderId="0" xfId="1" applyNumberFormat="1" applyFont="1" applyFill="1" applyAlignment="1">
      <alignment wrapText="1"/>
    </xf>
    <xf numFmtId="169" fontId="15" fillId="0" borderId="0" xfId="2" applyNumberFormat="1" applyFont="1" applyFill="1" applyAlignment="1">
      <alignment horizontal="right" wrapText="1"/>
    </xf>
    <xf numFmtId="169" fontId="5" fillId="0" borderId="0" xfId="2" applyNumberFormat="1" applyFont="1" applyFill="1" applyAlignment="1">
      <alignment horizontal="right" wrapText="1"/>
    </xf>
    <xf numFmtId="166" fontId="5" fillId="0" borderId="5" xfId="1" applyNumberFormat="1" applyFont="1" applyFill="1" applyBorder="1" applyAlignment="1">
      <alignment horizontal="right" wrapText="1"/>
    </xf>
    <xf numFmtId="169" fontId="16" fillId="0" borderId="0" xfId="2" applyNumberFormat="1" applyFont="1" applyFill="1" applyAlignment="1">
      <alignment horizontal="right" wrapText="1"/>
    </xf>
    <xf numFmtId="166" fontId="10" fillId="0" borderId="0" xfId="1" applyNumberFormat="1" applyFont="1"/>
    <xf numFmtId="169" fontId="5" fillId="0" borderId="0" xfId="2" applyNumberFormat="1" applyFont="1" applyFill="1" applyBorder="1" applyAlignment="1">
      <alignment horizontal="right" wrapText="1"/>
    </xf>
    <xf numFmtId="0" fontId="8" fillId="5" borderId="0" xfId="0" applyFont="1" applyFill="1"/>
    <xf numFmtId="169" fontId="5" fillId="0" borderId="0" xfId="2" applyNumberFormat="1" applyFont="1" applyFill="1" applyAlignment="1">
      <alignment wrapText="1"/>
    </xf>
    <xf numFmtId="166" fontId="14" fillId="0" borderId="0" xfId="0" applyNumberFormat="1" applyFont="1"/>
    <xf numFmtId="44" fontId="6" fillId="5" borderId="0" xfId="1" applyFont="1" applyFill="1" applyAlignment="1">
      <alignment horizontal="right" wrapText="1"/>
    </xf>
    <xf numFmtId="166" fontId="11" fillId="2" borderId="0" xfId="1" applyNumberFormat="1" applyFont="1" applyFill="1" applyAlignment="1">
      <alignment wrapText="1"/>
    </xf>
    <xf numFmtId="166" fontId="11" fillId="2" borderId="0" xfId="1" applyNumberFormat="1" applyFont="1" applyFill="1" applyAlignment="1">
      <alignment horizontal="right" wrapText="1"/>
    </xf>
    <xf numFmtId="166" fontId="2" fillId="0" borderId="0" xfId="1" applyNumberFormat="1" applyFont="1" applyAlignment="1">
      <alignment horizontal="left"/>
    </xf>
    <xf numFmtId="166" fontId="17" fillId="2" borderId="0" xfId="1" applyNumberFormat="1" applyFont="1" applyFill="1" applyAlignment="1"/>
    <xf numFmtId="166" fontId="17" fillId="4" borderId="0" xfId="1" applyNumberFormat="1" applyFont="1" applyFill="1" applyAlignment="1"/>
    <xf numFmtId="166" fontId="18" fillId="0" borderId="0" xfId="1" applyNumberFormat="1" applyFont="1" applyAlignment="1"/>
    <xf numFmtId="166" fontId="17" fillId="2" borderId="0" xfId="1" applyNumberFormat="1" applyFont="1" applyFill="1" applyAlignment="1">
      <alignment horizontal="right"/>
    </xf>
    <xf numFmtId="166" fontId="17" fillId="4" borderId="0" xfId="1" applyNumberFormat="1" applyFont="1" applyFill="1" applyAlignment="1">
      <alignment horizontal="right"/>
    </xf>
    <xf numFmtId="166" fontId="17" fillId="4" borderId="0" xfId="1" applyNumberFormat="1" applyFont="1" applyFill="1" applyBorder="1" applyAlignment="1">
      <alignment horizontal="right"/>
    </xf>
    <xf numFmtId="166" fontId="18" fillId="0" borderId="0" xfId="1" applyNumberFormat="1" applyFont="1" applyBorder="1" applyAlignment="1"/>
    <xf numFmtId="166" fontId="19" fillId="4" borderId="2" xfId="1" applyNumberFormat="1" applyFont="1" applyFill="1" applyBorder="1" applyAlignment="1">
      <alignment horizontal="right"/>
    </xf>
    <xf numFmtId="166" fontId="20" fillId="0" borderId="0" xfId="1" applyNumberFormat="1" applyFont="1" applyAlignment="1"/>
    <xf numFmtId="166" fontId="20" fillId="0" borderId="2" xfId="1" applyNumberFormat="1" applyFont="1" applyBorder="1" applyAlignment="1"/>
    <xf numFmtId="166" fontId="2" fillId="2" borderId="3" xfId="1" applyNumberFormat="1" applyFont="1" applyFill="1" applyBorder="1" applyAlignment="1">
      <alignment horizontal="right"/>
    </xf>
    <xf numFmtId="166" fontId="2" fillId="0" borderId="3" xfId="1" applyNumberFormat="1" applyFont="1" applyFill="1" applyBorder="1" applyAlignment="1">
      <alignment horizontal="right"/>
    </xf>
    <xf numFmtId="166" fontId="2" fillId="0" borderId="0" xfId="1" applyNumberFormat="1" applyFont="1" applyFill="1" applyAlignment="1">
      <alignment horizontal="right"/>
    </xf>
    <xf numFmtId="166" fontId="21" fillId="0" borderId="0" xfId="1" applyNumberFormat="1" applyFont="1" applyAlignment="1"/>
    <xf numFmtId="166" fontId="17" fillId="2" borderId="0" xfId="1" applyNumberFormat="1" applyFont="1" applyFill="1" applyBorder="1" applyAlignment="1">
      <alignment horizontal="right"/>
    </xf>
    <xf numFmtId="166" fontId="2" fillId="5" borderId="0" xfId="1" applyNumberFormat="1" applyFont="1" applyFill="1" applyBorder="1" applyAlignment="1">
      <alignment horizontal="right"/>
    </xf>
    <xf numFmtId="166" fontId="17" fillId="5" borderId="0" xfId="1" applyNumberFormat="1" applyFont="1" applyFill="1" applyBorder="1" applyAlignment="1">
      <alignment horizontal="right"/>
    </xf>
    <xf numFmtId="166" fontId="19" fillId="2" borderId="2" xfId="1" applyNumberFormat="1" applyFont="1" applyFill="1" applyBorder="1" applyAlignment="1">
      <alignment horizontal="right"/>
    </xf>
    <xf numFmtId="166" fontId="19" fillId="5" borderId="2" xfId="1" applyNumberFormat="1" applyFont="1" applyFill="1" applyBorder="1" applyAlignment="1">
      <alignment horizontal="right"/>
    </xf>
    <xf numFmtId="166" fontId="17" fillId="5" borderId="2" xfId="1" applyNumberFormat="1" applyFont="1" applyFill="1" applyBorder="1" applyAlignment="1">
      <alignment horizontal="right"/>
    </xf>
    <xf numFmtId="166" fontId="19" fillId="4" borderId="0" xfId="1" applyNumberFormat="1" applyFont="1" applyFill="1" applyAlignment="1">
      <alignment horizontal="right"/>
    </xf>
    <xf numFmtId="166" fontId="5" fillId="5" borderId="2" xfId="1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166" fontId="1" fillId="0" borderId="0" xfId="1" applyNumberFormat="1" applyFont="1" applyAlignment="1">
      <alignment horizontal="center"/>
    </xf>
    <xf numFmtId="166" fontId="0" fillId="0" borderId="0" xfId="1" applyNumberFormat="1" applyFont="1" applyAlignme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an Scheinert" id="{8A99EEBE-85C4-4DC5-ABD1-82607945E0E2}" userId="S::dean@justacenter.org::84fc37a6-4db8-40b4-9e13-02c948f1cc6d" providerId="AD"/>
  <person displayName="Nikki Johnson" id="{6569D9B9-74AF-44D3-8C9D-A5A5D2DFC671}" userId="S::nikki@justacenter.org::37cb33ec-5561-4f91-b15e-8dd9504d144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3" dT="2024-02-03T00:05:40.04" personId="{8A99EEBE-85C4-4DC5-ABD1-82607945E0E2}" id="{449B59A0-9B2D-4BDC-BA4B-9B3170CF25F6}">
    <text>PHX Rotary asked for $7,500</text>
  </threadedComment>
  <threadedComment ref="C19" dT="2024-03-06T18:42:08.27" personId="{6569D9B9-74AF-44D3-8C9D-A5A5D2DFC671}" id="{2E2F4B91-1ECA-418E-AEB9-8A7B16D0B1F8}">
    <text>This is a City of PHX grant. Entered in budget under 4240 City Grants.</text>
  </threadedComment>
  <threadedComment ref="G19" dT="2024-02-03T00:02:43.09" personId="{8A99EEBE-85C4-4DC5-ABD1-82607945E0E2}" id="{75918E69-D24D-4A4F-9006-891FF22ED7C6}">
    <text>50% BHHS</text>
  </threadedComment>
  <threadedComment ref="M19" dT="2024-02-03T01:27:20.29" personId="{8A99EEBE-85C4-4DC5-ABD1-82607945E0E2}" id="{8274BBA0-B024-4A04-B42A-78DC0C6577B8}">
    <text>AHC 50%</text>
  </threadedComment>
  <threadedComment ref="C20" dT="2024-02-03T01:01:25.49" personId="{8A99EEBE-85C4-4DC5-ABD1-82607945E0E2}" id="{D4D2084C-CCA5-4F78-A1C2-4276738FE9DD}">
    <text>Nicks $3 K at 50%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8"/>
  <sheetViews>
    <sheetView workbookViewId="0">
      <selection activeCell="A3" sqref="A3:N3"/>
    </sheetView>
  </sheetViews>
  <sheetFormatPr defaultRowHeight="14.4" x14ac:dyDescent="0.3"/>
  <cols>
    <col min="1" max="1" width="41.33203125" customWidth="1"/>
    <col min="2" max="2" width="10.33203125" customWidth="1"/>
    <col min="3" max="3" width="11.33203125" customWidth="1"/>
    <col min="4" max="4" width="10.33203125" customWidth="1"/>
    <col min="5" max="5" width="11.33203125" customWidth="1"/>
    <col min="6" max="6" width="9.44140625" customWidth="1"/>
    <col min="7" max="8" width="11.33203125" customWidth="1"/>
    <col min="9" max="9" width="10.33203125" customWidth="1"/>
    <col min="10" max="10" width="11.33203125" customWidth="1"/>
    <col min="11" max="12" width="9.44140625" customWidth="1"/>
    <col min="13" max="13" width="10.33203125" customWidth="1"/>
    <col min="14" max="14" width="11.109375" customWidth="1"/>
    <col min="15" max="15" width="13.109375" hidden="1" customWidth="1"/>
    <col min="16" max="16" width="10.33203125" customWidth="1"/>
  </cols>
  <sheetData>
    <row r="1" spans="1:16" ht="17.399999999999999" x14ac:dyDescent="0.3">
      <c r="A1" s="173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16" ht="17.399999999999999" x14ac:dyDescent="0.3">
      <c r="A2" s="173" t="s">
        <v>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</row>
    <row r="3" spans="1:16" x14ac:dyDescent="0.3">
      <c r="A3" s="175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</row>
    <row r="4" spans="1:16" ht="15" thickBot="1" x14ac:dyDescent="0.35">
      <c r="B4" s="176" t="s">
        <v>2</v>
      </c>
      <c r="C4" s="176"/>
      <c r="D4" s="176"/>
    </row>
    <row r="5" spans="1:16" ht="24.6" x14ac:dyDescent="0.3">
      <c r="A5" s="1"/>
      <c r="B5" s="2">
        <v>44927</v>
      </c>
      <c r="C5" s="2">
        <v>44958</v>
      </c>
      <c r="D5" s="2">
        <v>44986</v>
      </c>
      <c r="E5" s="3">
        <v>45017</v>
      </c>
      <c r="F5" s="3">
        <v>45047</v>
      </c>
      <c r="G5" s="3">
        <v>45078</v>
      </c>
      <c r="H5" s="3">
        <v>45108</v>
      </c>
      <c r="I5" s="3">
        <v>45139</v>
      </c>
      <c r="J5" s="3">
        <v>45170</v>
      </c>
      <c r="K5" s="3">
        <v>45200</v>
      </c>
      <c r="L5" s="3">
        <v>45231</v>
      </c>
      <c r="M5" s="3">
        <v>45261</v>
      </c>
      <c r="N5" s="4" t="s">
        <v>3</v>
      </c>
      <c r="P5" s="3" t="s">
        <v>4</v>
      </c>
    </row>
    <row r="6" spans="1:16" x14ac:dyDescent="0.3">
      <c r="A6" s="5" t="s">
        <v>5</v>
      </c>
      <c r="B6" s="6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P6" s="7"/>
    </row>
    <row r="7" spans="1:16" x14ac:dyDescent="0.3">
      <c r="A7" s="8" t="s">
        <v>6</v>
      </c>
      <c r="B7" s="9">
        <v>74753.19</v>
      </c>
      <c r="C7" s="9">
        <v>707639.26</v>
      </c>
      <c r="D7" s="9">
        <v>14153.64</v>
      </c>
      <c r="E7" s="10">
        <v>20285</v>
      </c>
      <c r="F7" s="10">
        <v>20285</v>
      </c>
      <c r="G7" s="10">
        <v>20285</v>
      </c>
      <c r="H7" s="10">
        <v>20296</v>
      </c>
      <c r="I7" s="10">
        <v>23372</v>
      </c>
      <c r="J7" s="10">
        <v>24345</v>
      </c>
      <c r="K7" s="10">
        <v>28403</v>
      </c>
      <c r="L7" s="10">
        <v>29215</v>
      </c>
      <c r="M7" s="10">
        <v>56968</v>
      </c>
      <c r="N7" s="10">
        <f>SUM(B7:M7)</f>
        <v>1040000.09</v>
      </c>
      <c r="P7" s="10">
        <v>503555.78</v>
      </c>
    </row>
    <row r="8" spans="1:16" x14ac:dyDescent="0.3">
      <c r="A8" s="8" t="s">
        <v>7</v>
      </c>
      <c r="B8" s="9">
        <f>0</f>
        <v>0</v>
      </c>
      <c r="C8" s="9">
        <v>540</v>
      </c>
      <c r="D8" s="9"/>
      <c r="E8" s="10">
        <v>0</v>
      </c>
      <c r="F8" s="11">
        <v>0</v>
      </c>
      <c r="G8" s="10">
        <v>9460</v>
      </c>
      <c r="H8" s="10">
        <v>0</v>
      </c>
      <c r="I8" s="10">
        <v>0</v>
      </c>
      <c r="J8" s="10">
        <v>10000</v>
      </c>
      <c r="K8" s="10" t="s">
        <v>8</v>
      </c>
      <c r="L8" s="10" t="s">
        <v>8</v>
      </c>
      <c r="M8" s="10">
        <v>10000</v>
      </c>
      <c r="N8" s="10">
        <f>SUM(B8:M8)</f>
        <v>30000</v>
      </c>
      <c r="P8" s="10">
        <v>99150.82</v>
      </c>
    </row>
    <row r="9" spans="1:16" x14ac:dyDescent="0.3">
      <c r="A9" s="8" t="s">
        <v>9</v>
      </c>
      <c r="B9" s="9">
        <v>11346.75</v>
      </c>
      <c r="C9" s="12">
        <v>10000</v>
      </c>
      <c r="D9" s="9">
        <v>38200</v>
      </c>
      <c r="E9" s="10">
        <v>15345</v>
      </c>
      <c r="F9" s="11">
        <v>16000</v>
      </c>
      <c r="G9" s="11">
        <v>16000</v>
      </c>
      <c r="H9" s="10">
        <v>16000</v>
      </c>
      <c r="I9" s="11">
        <v>18000</v>
      </c>
      <c r="J9" s="11">
        <v>19000</v>
      </c>
      <c r="K9" s="10">
        <v>22000</v>
      </c>
      <c r="L9" s="10">
        <v>23000</v>
      </c>
      <c r="M9" s="10">
        <v>44708.25</v>
      </c>
      <c r="N9" s="10">
        <f>SUM(B9:M9)</f>
        <v>249600</v>
      </c>
      <c r="P9" s="10">
        <v>103040.25</v>
      </c>
    </row>
    <row r="10" spans="1:16" x14ac:dyDescent="0.3">
      <c r="A10" s="8" t="s">
        <v>10</v>
      </c>
      <c r="B10" s="9">
        <v>0</v>
      </c>
      <c r="C10" s="9">
        <v>0</v>
      </c>
      <c r="D10" s="9">
        <v>-0.01</v>
      </c>
      <c r="E10" s="10">
        <v>2500</v>
      </c>
      <c r="F10" s="10">
        <v>2500</v>
      </c>
      <c r="G10" s="10">
        <v>2500</v>
      </c>
      <c r="H10" s="10">
        <v>2500</v>
      </c>
      <c r="I10" s="10">
        <v>3000</v>
      </c>
      <c r="J10" s="10">
        <v>3000</v>
      </c>
      <c r="K10" s="10">
        <v>3000</v>
      </c>
      <c r="L10" s="10">
        <v>3000</v>
      </c>
      <c r="M10" s="10">
        <v>3000.01</v>
      </c>
      <c r="N10" s="10">
        <f>SUM(B10:M10)</f>
        <v>25000</v>
      </c>
      <c r="P10" s="10">
        <v>177278.48</v>
      </c>
    </row>
    <row r="11" spans="1:16" x14ac:dyDescent="0.3">
      <c r="A11" s="8" t="s">
        <v>11</v>
      </c>
      <c r="B11" s="12"/>
      <c r="C11" s="9">
        <v>0</v>
      </c>
      <c r="D11" s="9"/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f t="shared" ref="N11:N13" si="0">SUM(B11:M11)</f>
        <v>0</v>
      </c>
      <c r="P11" s="10">
        <v>28050</v>
      </c>
    </row>
    <row r="12" spans="1:16" x14ac:dyDescent="0.3">
      <c r="A12" s="8" t="s">
        <v>12</v>
      </c>
      <c r="B12" s="9">
        <v>0</v>
      </c>
      <c r="C12" s="12"/>
      <c r="D12" s="12"/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0">
        <f t="shared" si="0"/>
        <v>0</v>
      </c>
      <c r="P12" s="11">
        <v>0</v>
      </c>
    </row>
    <row r="13" spans="1:16" x14ac:dyDescent="0.3">
      <c r="A13" s="8" t="s">
        <v>13</v>
      </c>
      <c r="B13" s="9">
        <v>0</v>
      </c>
      <c r="C13" s="9">
        <v>0</v>
      </c>
      <c r="D13" s="9"/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0">
        <f t="shared" si="0"/>
        <v>0</v>
      </c>
      <c r="P13" s="11">
        <v>2409</v>
      </c>
    </row>
    <row r="14" spans="1:16" x14ac:dyDescent="0.3">
      <c r="A14" s="8" t="s">
        <v>14</v>
      </c>
      <c r="B14" s="13">
        <f t="shared" ref="B14:D14" si="1">((((((B7)+(B8))+(B9))+(B10))+(B11))+(B12))+(B13)</f>
        <v>86099.94</v>
      </c>
      <c r="C14" s="13">
        <f t="shared" si="1"/>
        <v>718179.26</v>
      </c>
      <c r="D14" s="13">
        <f t="shared" si="1"/>
        <v>52353.63</v>
      </c>
      <c r="E14" s="14">
        <f>SUM(E7:E13)</f>
        <v>38130</v>
      </c>
      <c r="F14" s="14">
        <f t="shared" ref="F14:M14" si="2">SUM(F7:F13)</f>
        <v>38785</v>
      </c>
      <c r="G14" s="14">
        <f t="shared" si="2"/>
        <v>48245</v>
      </c>
      <c r="H14" s="14">
        <f t="shared" si="2"/>
        <v>38796</v>
      </c>
      <c r="I14" s="14">
        <f t="shared" si="2"/>
        <v>44372</v>
      </c>
      <c r="J14" s="14">
        <f t="shared" si="2"/>
        <v>56345</v>
      </c>
      <c r="K14" s="14">
        <f t="shared" si="2"/>
        <v>53403</v>
      </c>
      <c r="L14" s="14">
        <f t="shared" si="2"/>
        <v>55215</v>
      </c>
      <c r="M14" s="14">
        <f t="shared" si="2"/>
        <v>114676.26</v>
      </c>
      <c r="N14" s="14">
        <f>SUM(N7:N13)</f>
        <v>1344600.0899999999</v>
      </c>
      <c r="O14" s="15">
        <f>SUM(B14:M14)</f>
        <v>1344600.09</v>
      </c>
      <c r="P14" s="14">
        <f t="shared" ref="P14" si="3">SUM(P7:P13)</f>
        <v>913484.33000000007</v>
      </c>
    </row>
    <row r="15" spans="1:16" hidden="1" x14ac:dyDescent="0.3">
      <c r="A15" s="8" t="s">
        <v>15</v>
      </c>
      <c r="B15" s="13">
        <f t="shared" ref="B15:M15" si="4">(B14)-(0)</f>
        <v>86099.94</v>
      </c>
      <c r="C15" s="13">
        <f t="shared" si="4"/>
        <v>718179.26</v>
      </c>
      <c r="D15" s="13">
        <f t="shared" si="4"/>
        <v>52353.63</v>
      </c>
      <c r="E15" s="14">
        <f t="shared" si="4"/>
        <v>38130</v>
      </c>
      <c r="F15" s="14">
        <f t="shared" si="4"/>
        <v>38785</v>
      </c>
      <c r="G15" s="14">
        <f t="shared" si="4"/>
        <v>48245</v>
      </c>
      <c r="H15" s="14">
        <f t="shared" si="4"/>
        <v>38796</v>
      </c>
      <c r="I15" s="14">
        <f t="shared" si="4"/>
        <v>44372</v>
      </c>
      <c r="J15" s="14">
        <f t="shared" si="4"/>
        <v>56345</v>
      </c>
      <c r="K15" s="14">
        <f t="shared" si="4"/>
        <v>53403</v>
      </c>
      <c r="L15" s="14">
        <f t="shared" si="4"/>
        <v>55215</v>
      </c>
      <c r="M15" s="14">
        <f t="shared" si="4"/>
        <v>114676.26</v>
      </c>
      <c r="N15" s="14">
        <f t="shared" ref="N15" si="5">(((((((((((B15)+(C15))+(D15))+(E15))+(F15))+(G15))+(H15))+(I15))+(J15))+(K15))+(L15))+(M15)</f>
        <v>1344600.09</v>
      </c>
      <c r="P15" s="14">
        <f t="shared" ref="P15" si="6">(P14)-(0)</f>
        <v>913484.33000000007</v>
      </c>
    </row>
    <row r="16" spans="1:16" x14ac:dyDescent="0.3">
      <c r="A16" s="5" t="s">
        <v>16</v>
      </c>
      <c r="B16" s="16"/>
      <c r="C16" s="16"/>
      <c r="D16" s="16"/>
      <c r="E16" s="17"/>
      <c r="F16" s="17"/>
      <c r="G16" s="17"/>
      <c r="H16" s="17"/>
      <c r="I16" s="17"/>
      <c r="J16" s="17"/>
      <c r="K16" s="17"/>
      <c r="L16" s="17"/>
      <c r="M16" s="17"/>
      <c r="N16" s="17"/>
      <c r="P16" s="17"/>
    </row>
    <row r="17" spans="1:16" hidden="1" x14ac:dyDescent="0.3">
      <c r="A17" s="5" t="s">
        <v>17</v>
      </c>
      <c r="B17" s="16"/>
      <c r="C17" s="16"/>
      <c r="D17" s="16"/>
      <c r="E17" s="17"/>
      <c r="F17" s="17"/>
      <c r="G17" s="17"/>
      <c r="H17" s="17"/>
      <c r="I17" s="17"/>
      <c r="J17" s="17"/>
      <c r="K17" s="17"/>
      <c r="L17" s="17"/>
      <c r="M17" s="17"/>
      <c r="N17" s="17"/>
      <c r="P17" s="17"/>
    </row>
    <row r="18" spans="1:16" x14ac:dyDescent="0.3">
      <c r="A18" s="5" t="s">
        <v>18</v>
      </c>
      <c r="B18" s="16">
        <v>30535.759999999998</v>
      </c>
      <c r="C18" s="16">
        <v>24363.61</v>
      </c>
      <c r="D18" s="16">
        <v>46481.120000000003</v>
      </c>
      <c r="E18" s="17">
        <v>42772</v>
      </c>
      <c r="F18" s="17">
        <v>44992</v>
      </c>
      <c r="G18" s="17">
        <v>53534</v>
      </c>
      <c r="H18" s="17">
        <v>58951</v>
      </c>
      <c r="I18" s="17">
        <v>58951</v>
      </c>
      <c r="J18" s="17">
        <v>58951</v>
      </c>
      <c r="K18" s="17">
        <v>58951</v>
      </c>
      <c r="L18" s="17">
        <v>58951</v>
      </c>
      <c r="M18" s="17">
        <v>58951</v>
      </c>
      <c r="N18" s="17">
        <f>SUM(B18:M18)</f>
        <v>596384.49</v>
      </c>
      <c r="P18" s="17">
        <v>462623.17</v>
      </c>
    </row>
    <row r="19" spans="1:16" x14ac:dyDescent="0.3">
      <c r="A19" s="5" t="s">
        <v>19</v>
      </c>
      <c r="B19" s="16">
        <v>2339.91</v>
      </c>
      <c r="C19" s="16">
        <v>1864.02</v>
      </c>
      <c r="D19" s="16">
        <v>3645.88</v>
      </c>
      <c r="E19" s="17">
        <f>0.373*(42772*0.2)</f>
        <v>3190.7911999999997</v>
      </c>
      <c r="F19" s="17">
        <f>0.373*(44992*0.2)</f>
        <v>3356.4031999999997</v>
      </c>
      <c r="G19" s="17">
        <f>0.373*(53534*0.2)</f>
        <v>3993.6364000000003</v>
      </c>
      <c r="H19" s="17">
        <f>0.373*(58951*0.2)</f>
        <v>4397.7446</v>
      </c>
      <c r="I19" s="17">
        <f>0.373*(58951*0.2)</f>
        <v>4397.7446</v>
      </c>
      <c r="J19" s="17">
        <f t="shared" ref="J19:M19" si="7">0.373*(58951*0.2)</f>
        <v>4397.7446</v>
      </c>
      <c r="K19" s="17">
        <f t="shared" si="7"/>
        <v>4397.7446</v>
      </c>
      <c r="L19" s="17">
        <f t="shared" si="7"/>
        <v>4397.7446</v>
      </c>
      <c r="M19" s="17">
        <f t="shared" si="7"/>
        <v>4397.7446</v>
      </c>
      <c r="N19" s="17">
        <f t="shared" ref="N19:N25" si="8">SUM(B19:M19)</f>
        <v>44777.10839999999</v>
      </c>
      <c r="P19" s="17">
        <v>31672.57</v>
      </c>
    </row>
    <row r="20" spans="1:16" x14ac:dyDescent="0.3">
      <c r="A20" s="5" t="s">
        <v>20</v>
      </c>
      <c r="B20" s="16"/>
      <c r="C20" s="16"/>
      <c r="D20" s="16"/>
      <c r="E20" s="17"/>
      <c r="F20" s="17"/>
      <c r="G20" s="17"/>
      <c r="H20" s="17"/>
      <c r="I20" s="17"/>
      <c r="J20" s="17"/>
      <c r="K20" s="17"/>
      <c r="L20" s="17"/>
      <c r="M20" s="17"/>
      <c r="N20" s="17"/>
      <c r="P20" s="17"/>
    </row>
    <row r="21" spans="1:16" x14ac:dyDescent="0.3">
      <c r="A21" s="5" t="s">
        <v>21</v>
      </c>
      <c r="B21" s="16">
        <v>75</v>
      </c>
      <c r="C21" s="16">
        <v>87.5</v>
      </c>
      <c r="D21" s="16">
        <v>150</v>
      </c>
      <c r="E21" s="17">
        <f>0.031*(42772*0.2)</f>
        <v>265.18639999999999</v>
      </c>
      <c r="F21" s="17">
        <f>0.031*(44992*0.2)</f>
        <v>278.9504</v>
      </c>
      <c r="G21" s="17">
        <f>0.031*(53534*0.2)</f>
        <v>331.91080000000005</v>
      </c>
      <c r="H21" s="17">
        <f>0.031*(58951*0.2)</f>
        <v>365.49620000000004</v>
      </c>
      <c r="I21" s="17">
        <f>0.031*(58951*0.2)</f>
        <v>365.49620000000004</v>
      </c>
      <c r="J21" s="17">
        <f>0.031*(58951*0.2)</f>
        <v>365.49620000000004</v>
      </c>
      <c r="K21" s="17">
        <f t="shared" ref="K21:M21" si="9">0.031*(58951*0.2)</f>
        <v>365.49620000000004</v>
      </c>
      <c r="L21" s="17">
        <f t="shared" si="9"/>
        <v>365.49620000000004</v>
      </c>
      <c r="M21" s="17">
        <f t="shared" si="9"/>
        <v>365.49620000000004</v>
      </c>
      <c r="N21" s="17">
        <f t="shared" si="8"/>
        <v>3381.5248000000006</v>
      </c>
      <c r="P21" s="17">
        <v>2625</v>
      </c>
    </row>
    <row r="22" spans="1:16" x14ac:dyDescent="0.3">
      <c r="A22" s="5" t="s">
        <v>22</v>
      </c>
      <c r="B22" s="16">
        <v>1398.94</v>
      </c>
      <c r="C22" s="16">
        <v>1222.1199999999999</v>
      </c>
      <c r="D22" s="16">
        <v>1617.17</v>
      </c>
      <c r="E22" s="17">
        <f>0.467*(42772*0.2)</f>
        <v>3994.9048000000003</v>
      </c>
      <c r="F22" s="17">
        <f>0.467*(44992*0.2)</f>
        <v>4202.2528000000002</v>
      </c>
      <c r="G22" s="17">
        <f>0.467*(53534*0.2)</f>
        <v>5000.075600000001</v>
      </c>
      <c r="H22" s="17">
        <f>0.467*(58951*0.2)</f>
        <v>5506.0234000000009</v>
      </c>
      <c r="I22" s="17">
        <f>0.467*(58951*0.2)</f>
        <v>5506.0234000000009</v>
      </c>
      <c r="J22" s="17">
        <f t="shared" ref="J22:M22" si="10">0.467*(58951*0.2)</f>
        <v>5506.0234000000009</v>
      </c>
      <c r="K22" s="17">
        <f t="shared" si="10"/>
        <v>5506.0234000000009</v>
      </c>
      <c r="L22" s="17">
        <f t="shared" si="10"/>
        <v>5506.0234000000009</v>
      </c>
      <c r="M22" s="17">
        <f t="shared" si="10"/>
        <v>5506.0234000000009</v>
      </c>
      <c r="N22" s="17">
        <f t="shared" si="8"/>
        <v>50471.603600000002</v>
      </c>
      <c r="P22" s="17">
        <v>39771.800000000003</v>
      </c>
    </row>
    <row r="23" spans="1:16" x14ac:dyDescent="0.3">
      <c r="A23" s="5" t="s">
        <v>23</v>
      </c>
      <c r="B23" s="16">
        <v>283.75</v>
      </c>
      <c r="C23" s="16">
        <v>283.75</v>
      </c>
      <c r="D23" s="16">
        <v>283.75</v>
      </c>
      <c r="E23" s="17">
        <f>0.09*(42772*0.2)</f>
        <v>769.89599999999996</v>
      </c>
      <c r="F23" s="17">
        <f>0.09*(44992*0.2)</f>
        <v>809.85599999999988</v>
      </c>
      <c r="G23" s="17">
        <f>0.09*(53534*0.2)</f>
        <v>963.61200000000008</v>
      </c>
      <c r="H23" s="17">
        <f>0.09*(58951*0.2)</f>
        <v>1061.1179999999999</v>
      </c>
      <c r="I23" s="17">
        <f>0.09*(58951*0.2)</f>
        <v>1061.1179999999999</v>
      </c>
      <c r="J23" s="17">
        <f t="shared" ref="J23:M23" si="11">0.09*(58951*0.2)</f>
        <v>1061.1179999999999</v>
      </c>
      <c r="K23" s="17">
        <f t="shared" si="11"/>
        <v>1061.1179999999999</v>
      </c>
      <c r="L23" s="17">
        <f t="shared" si="11"/>
        <v>1061.1179999999999</v>
      </c>
      <c r="M23" s="17">
        <f t="shared" si="11"/>
        <v>1061.1179999999999</v>
      </c>
      <c r="N23" s="17">
        <f t="shared" si="8"/>
        <v>9761.3220000000019</v>
      </c>
      <c r="P23" s="17">
        <v>7639.97</v>
      </c>
    </row>
    <row r="24" spans="1:16" x14ac:dyDescent="0.3">
      <c r="A24" s="5" t="s">
        <v>24</v>
      </c>
      <c r="B24" s="16">
        <v>304.08</v>
      </c>
      <c r="C24" s="16">
        <v>0</v>
      </c>
      <c r="D24" s="16">
        <v>590.78</v>
      </c>
      <c r="E24" s="17">
        <f>0.039*(42772*0.2)</f>
        <v>333.6216</v>
      </c>
      <c r="F24" s="17">
        <f>0.039*(44992*0.2)</f>
        <v>350.93759999999997</v>
      </c>
      <c r="G24" s="17">
        <f>0.039*(53534*0.2)</f>
        <v>417.56520000000006</v>
      </c>
      <c r="H24" s="17">
        <f t="shared" ref="H24:M24" si="12">0.039*(58951*0.2)</f>
        <v>459.81780000000003</v>
      </c>
      <c r="I24" s="17">
        <f t="shared" si="12"/>
        <v>459.81780000000003</v>
      </c>
      <c r="J24" s="17">
        <f t="shared" si="12"/>
        <v>459.81780000000003</v>
      </c>
      <c r="K24" s="17">
        <f t="shared" si="12"/>
        <v>459.81780000000003</v>
      </c>
      <c r="L24" s="17">
        <f t="shared" si="12"/>
        <v>459.81780000000003</v>
      </c>
      <c r="M24" s="17">
        <f t="shared" si="12"/>
        <v>459.81780000000003</v>
      </c>
      <c r="N24" s="17">
        <f t="shared" si="8"/>
        <v>4755.8911999999991</v>
      </c>
      <c r="P24" s="17">
        <v>3295.68</v>
      </c>
    </row>
    <row r="25" spans="1:16" x14ac:dyDescent="0.3">
      <c r="A25" s="5" t="s">
        <v>25</v>
      </c>
      <c r="B25" s="18">
        <f>SUM(B18:B24)</f>
        <v>34937.440000000002</v>
      </c>
      <c r="C25" s="18">
        <f>SUM(C18:C24)</f>
        <v>27821</v>
      </c>
      <c r="D25" s="18">
        <f>SUM(D18:D24)</f>
        <v>52768.7</v>
      </c>
      <c r="E25" s="19">
        <f>SUM(E18:E24)</f>
        <v>51326.400000000001</v>
      </c>
      <c r="F25" s="19">
        <f t="shared" ref="F25:M25" si="13">SUM(F18:F24)</f>
        <v>53990.400000000001</v>
      </c>
      <c r="G25" s="19">
        <f t="shared" si="13"/>
        <v>64240.800000000003</v>
      </c>
      <c r="H25" s="19">
        <f t="shared" si="13"/>
        <v>70741.200000000012</v>
      </c>
      <c r="I25" s="19">
        <f t="shared" si="13"/>
        <v>70741.200000000012</v>
      </c>
      <c r="J25" s="19">
        <f t="shared" si="13"/>
        <v>70741.200000000012</v>
      </c>
      <c r="K25" s="19">
        <f t="shared" si="13"/>
        <v>70741.200000000012</v>
      </c>
      <c r="L25" s="19">
        <f t="shared" si="13"/>
        <v>70741.200000000012</v>
      </c>
      <c r="M25" s="19">
        <f t="shared" si="13"/>
        <v>70741.200000000012</v>
      </c>
      <c r="N25" s="19">
        <f t="shared" si="8"/>
        <v>709531.94</v>
      </c>
      <c r="O25" s="15">
        <f>SUM(B25:M25)</f>
        <v>709531.94</v>
      </c>
      <c r="P25" s="19">
        <f t="shared" ref="P25" si="14">SUM(P18:P24)</f>
        <v>547628.19000000006</v>
      </c>
    </row>
    <row r="26" spans="1:16" x14ac:dyDescent="0.3">
      <c r="A26" s="5"/>
      <c r="B26" s="16"/>
      <c r="C26" s="16"/>
      <c r="D26" s="16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5"/>
      <c r="P26" s="17"/>
    </row>
    <row r="27" spans="1:16" x14ac:dyDescent="0.3">
      <c r="A27" s="5" t="s">
        <v>26</v>
      </c>
      <c r="B27" s="16"/>
      <c r="C27" s="16"/>
      <c r="D27" s="16"/>
      <c r="E27" s="17"/>
      <c r="F27" s="17"/>
      <c r="G27" s="17"/>
      <c r="H27" s="17"/>
      <c r="I27" s="17"/>
      <c r="J27" s="17"/>
      <c r="K27" s="17"/>
      <c r="L27" s="17"/>
      <c r="M27" s="17"/>
      <c r="N27" s="17"/>
      <c r="P27" s="17"/>
    </row>
    <row r="28" spans="1:16" x14ac:dyDescent="0.3">
      <c r="A28" s="5" t="s">
        <v>27</v>
      </c>
      <c r="B28" s="20"/>
      <c r="C28" s="16"/>
      <c r="D28" s="20">
        <v>0</v>
      </c>
      <c r="E28" s="17">
        <v>50</v>
      </c>
      <c r="F28" s="17">
        <v>50</v>
      </c>
      <c r="G28" s="17">
        <v>50</v>
      </c>
      <c r="H28" s="17">
        <v>50</v>
      </c>
      <c r="I28" s="17">
        <v>50</v>
      </c>
      <c r="J28" s="17">
        <v>50</v>
      </c>
      <c r="K28" s="17">
        <v>50</v>
      </c>
      <c r="L28" s="17">
        <v>50</v>
      </c>
      <c r="M28" s="17">
        <v>50</v>
      </c>
      <c r="N28" s="21">
        <f>SUM(B28:M28)</f>
        <v>450</v>
      </c>
      <c r="P28" s="17">
        <v>630.6</v>
      </c>
    </row>
    <row r="29" spans="1:16" x14ac:dyDescent="0.3">
      <c r="A29" s="5" t="s">
        <v>28</v>
      </c>
      <c r="B29" s="20">
        <v>21.45</v>
      </c>
      <c r="C29" s="20">
        <v>0</v>
      </c>
      <c r="D29" s="20">
        <v>0</v>
      </c>
      <c r="E29" s="21">
        <v>240</v>
      </c>
      <c r="F29" s="21">
        <v>240</v>
      </c>
      <c r="G29" s="21">
        <v>240</v>
      </c>
      <c r="H29" s="21">
        <v>240</v>
      </c>
      <c r="I29" s="21">
        <v>240</v>
      </c>
      <c r="J29" s="21">
        <v>240</v>
      </c>
      <c r="K29" s="21">
        <v>240</v>
      </c>
      <c r="L29" s="21">
        <v>240</v>
      </c>
      <c r="M29" s="21">
        <v>240</v>
      </c>
      <c r="N29" s="21">
        <f t="shared" ref="N29:N64" si="15">SUM(B29:M29)</f>
        <v>2181.4499999999998</v>
      </c>
      <c r="P29" s="21">
        <v>2129.34</v>
      </c>
    </row>
    <row r="30" spans="1:16" x14ac:dyDescent="0.3">
      <c r="A30" s="5" t="s">
        <v>29</v>
      </c>
      <c r="B30" s="20">
        <v>837.54</v>
      </c>
      <c r="C30" s="20">
        <v>657.06</v>
      </c>
      <c r="D30" s="20">
        <v>0</v>
      </c>
      <c r="E30" s="21">
        <f>20180*0.113+35</f>
        <v>2315.34</v>
      </c>
      <c r="F30" s="21">
        <f>20180*0.124+35</f>
        <v>2537.3200000000002</v>
      </c>
      <c r="G30" s="21">
        <f>20180*0.16+35</f>
        <v>3263.8</v>
      </c>
      <c r="H30" s="21">
        <f>20180*0.188+35</f>
        <v>3828.84</v>
      </c>
      <c r="I30" s="21">
        <f>20180*0.179+35</f>
        <v>3647.22</v>
      </c>
      <c r="J30" s="21">
        <f>20180*0.06+35</f>
        <v>1245.8</v>
      </c>
      <c r="K30" s="21">
        <f>20180*0.005+35</f>
        <v>135.9</v>
      </c>
      <c r="L30" s="21">
        <f>20180*0.031+35</f>
        <v>660.58</v>
      </c>
      <c r="M30" s="21">
        <f>20180*0.05+35</f>
        <v>1044</v>
      </c>
      <c r="N30" s="21">
        <f t="shared" si="15"/>
        <v>20173.400000000005</v>
      </c>
      <c r="P30" s="21">
        <v>26444.79</v>
      </c>
    </row>
    <row r="31" spans="1:16" x14ac:dyDescent="0.3">
      <c r="A31" s="5" t="s">
        <v>30</v>
      </c>
      <c r="B31" s="20">
        <v>66.319999999999993</v>
      </c>
      <c r="C31" s="20">
        <v>69.5</v>
      </c>
      <c r="D31" s="20">
        <v>69.5</v>
      </c>
      <c r="E31" s="21">
        <f>9821*0.084</f>
        <v>824.96400000000006</v>
      </c>
      <c r="F31" s="21">
        <f>9821*0.231</f>
        <v>2268.6510000000003</v>
      </c>
      <c r="G31" s="21">
        <f>9821*0.032</f>
        <v>314.27199999999999</v>
      </c>
      <c r="H31" s="21">
        <f>9821*0.107</f>
        <v>1050.847</v>
      </c>
      <c r="I31" s="21">
        <f>9821*0.087</f>
        <v>854.42699999999991</v>
      </c>
      <c r="J31" s="21">
        <f>9821*0.094</f>
        <v>923.17399999999998</v>
      </c>
      <c r="K31" s="21">
        <f>9821*0.207</f>
        <v>2032.9469999999999</v>
      </c>
      <c r="L31" s="21">
        <f>9821*0.075</f>
        <v>736.57499999999993</v>
      </c>
      <c r="M31" s="21">
        <f>9821*0.007+541</f>
        <v>609.74699999999996</v>
      </c>
      <c r="N31" s="21">
        <f t="shared" si="15"/>
        <v>9820.9239999999991</v>
      </c>
      <c r="P31" s="21">
        <v>10662.81</v>
      </c>
    </row>
    <row r="32" spans="1:16" x14ac:dyDescent="0.3">
      <c r="A32" s="5" t="s">
        <v>31</v>
      </c>
      <c r="B32" s="16"/>
      <c r="C32" s="16"/>
      <c r="D32" s="16"/>
      <c r="E32" s="17">
        <v>30</v>
      </c>
      <c r="F32" s="17">
        <v>30</v>
      </c>
      <c r="G32" s="17">
        <v>30</v>
      </c>
      <c r="H32" s="17">
        <v>30</v>
      </c>
      <c r="I32" s="17">
        <v>30</v>
      </c>
      <c r="J32" s="17">
        <v>30</v>
      </c>
      <c r="K32" s="17">
        <v>30</v>
      </c>
      <c r="L32" s="17">
        <v>30</v>
      </c>
      <c r="M32" s="17">
        <v>30</v>
      </c>
      <c r="N32" s="21">
        <f t="shared" si="15"/>
        <v>270</v>
      </c>
      <c r="P32" s="17">
        <v>447.13</v>
      </c>
    </row>
    <row r="33" spans="1:16" x14ac:dyDescent="0.3">
      <c r="A33" s="5" t="s">
        <v>32</v>
      </c>
      <c r="B33" s="16"/>
      <c r="C33" s="16">
        <v>362.5</v>
      </c>
      <c r="D33" s="16"/>
      <c r="E33" s="17">
        <v>0</v>
      </c>
      <c r="F33" s="17">
        <v>0</v>
      </c>
      <c r="G33" s="21"/>
      <c r="H33" s="17"/>
      <c r="I33" s="17">
        <v>300</v>
      </c>
      <c r="J33" s="21"/>
      <c r="K33" s="21"/>
      <c r="L33" s="17"/>
      <c r="M33" s="17"/>
      <c r="N33" s="21">
        <f t="shared" si="15"/>
        <v>662.5</v>
      </c>
      <c r="P33" s="17">
        <v>501.19</v>
      </c>
    </row>
    <row r="34" spans="1:16" x14ac:dyDescent="0.3">
      <c r="A34" s="5" t="s">
        <v>33</v>
      </c>
      <c r="B34" s="16">
        <v>900</v>
      </c>
      <c r="C34" s="16">
        <v>900</v>
      </c>
      <c r="D34" s="20">
        <v>1224.95</v>
      </c>
      <c r="E34" s="21">
        <f>0.32*10479</f>
        <v>3353.28</v>
      </c>
      <c r="F34" s="21">
        <f>0.17*10479</f>
        <v>1781.43</v>
      </c>
      <c r="G34" s="21">
        <v>0</v>
      </c>
      <c r="H34" s="21">
        <v>0</v>
      </c>
      <c r="I34" s="21">
        <v>0</v>
      </c>
      <c r="J34" s="21">
        <v>0</v>
      </c>
      <c r="K34" s="21">
        <f>0.18*10479</f>
        <v>1886.22</v>
      </c>
      <c r="L34" s="21">
        <v>0</v>
      </c>
      <c r="M34" s="21">
        <v>0</v>
      </c>
      <c r="N34" s="21">
        <f t="shared" si="15"/>
        <v>10045.879999999999</v>
      </c>
      <c r="P34" s="21">
        <v>9979.66</v>
      </c>
    </row>
    <row r="35" spans="1:16" x14ac:dyDescent="0.3">
      <c r="A35" s="5" t="s">
        <v>34</v>
      </c>
      <c r="B35" s="20"/>
      <c r="C35" s="16"/>
      <c r="D35" s="16"/>
      <c r="E35" s="17">
        <v>100</v>
      </c>
      <c r="F35" s="17">
        <v>100</v>
      </c>
      <c r="G35" s="17">
        <v>100</v>
      </c>
      <c r="H35" s="17">
        <v>400</v>
      </c>
      <c r="I35" s="17">
        <v>400</v>
      </c>
      <c r="J35" s="17">
        <v>400</v>
      </c>
      <c r="K35" s="17">
        <v>400</v>
      </c>
      <c r="L35" s="17">
        <v>400</v>
      </c>
      <c r="M35" s="17">
        <v>400</v>
      </c>
      <c r="N35" s="21">
        <f t="shared" si="15"/>
        <v>2700</v>
      </c>
      <c r="P35" s="17">
        <v>2550</v>
      </c>
    </row>
    <row r="36" spans="1:16" x14ac:dyDescent="0.3">
      <c r="A36" s="5" t="s">
        <v>35</v>
      </c>
      <c r="B36" s="16"/>
      <c r="C36" s="20">
        <v>0</v>
      </c>
      <c r="D36" s="16"/>
      <c r="E36" s="17"/>
      <c r="F36" s="17"/>
      <c r="G36" s="17">
        <v>50</v>
      </c>
      <c r="H36" s="17"/>
      <c r="I36" s="17"/>
      <c r="J36" s="17">
        <v>50</v>
      </c>
      <c r="K36" s="17"/>
      <c r="L36" s="17"/>
      <c r="M36" s="17">
        <v>50</v>
      </c>
      <c r="N36" s="21">
        <f t="shared" si="15"/>
        <v>150</v>
      </c>
      <c r="P36" s="17">
        <v>153.68</v>
      </c>
    </row>
    <row r="37" spans="1:16" x14ac:dyDescent="0.3">
      <c r="A37" s="5" t="s">
        <v>36</v>
      </c>
      <c r="B37" s="20">
        <v>411.61</v>
      </c>
      <c r="C37" s="20">
        <v>2118.5</v>
      </c>
      <c r="D37" s="20">
        <v>1906.46</v>
      </c>
      <c r="E37" s="21">
        <v>750</v>
      </c>
      <c r="F37" s="21">
        <v>300</v>
      </c>
      <c r="G37" s="21">
        <v>1200</v>
      </c>
      <c r="H37" s="21">
        <v>900</v>
      </c>
      <c r="I37" s="21">
        <v>100</v>
      </c>
      <c r="J37" s="21">
        <v>500</v>
      </c>
      <c r="K37" s="21">
        <v>100</v>
      </c>
      <c r="L37" s="21">
        <v>100</v>
      </c>
      <c r="M37" s="21">
        <v>0</v>
      </c>
      <c r="N37" s="21">
        <f t="shared" si="15"/>
        <v>8386.57</v>
      </c>
      <c r="P37" s="21">
        <v>14578.74</v>
      </c>
    </row>
    <row r="38" spans="1:16" x14ac:dyDescent="0.3">
      <c r="A38" s="5" t="s">
        <v>37</v>
      </c>
      <c r="B38" s="20">
        <v>118.14</v>
      </c>
      <c r="C38" s="20">
        <v>118.14</v>
      </c>
      <c r="D38" s="20">
        <v>98.5</v>
      </c>
      <c r="E38" s="21">
        <v>375</v>
      </c>
      <c r="F38" s="21">
        <v>375</v>
      </c>
      <c r="G38" s="21">
        <v>375</v>
      </c>
      <c r="H38" s="21">
        <v>375</v>
      </c>
      <c r="I38" s="21">
        <v>375</v>
      </c>
      <c r="J38" s="21">
        <v>375</v>
      </c>
      <c r="K38" s="21">
        <v>375</v>
      </c>
      <c r="L38" s="21">
        <v>375</v>
      </c>
      <c r="M38" s="21">
        <v>375</v>
      </c>
      <c r="N38" s="21">
        <f t="shared" si="15"/>
        <v>3709.7799999999997</v>
      </c>
      <c r="P38" s="21">
        <v>3607.22</v>
      </c>
    </row>
    <row r="39" spans="1:16" x14ac:dyDescent="0.3">
      <c r="A39" s="5" t="s">
        <v>38</v>
      </c>
      <c r="B39" s="20">
        <v>846.91</v>
      </c>
      <c r="C39" s="20">
        <v>444.41</v>
      </c>
      <c r="D39" s="20">
        <v>699.17</v>
      </c>
      <c r="E39" s="21">
        <v>500</v>
      </c>
      <c r="F39" s="21">
        <v>500</v>
      </c>
      <c r="G39" s="21">
        <v>500</v>
      </c>
      <c r="H39" s="21">
        <v>500</v>
      </c>
      <c r="I39" s="21">
        <v>500</v>
      </c>
      <c r="J39" s="21">
        <v>500</v>
      </c>
      <c r="K39" s="21">
        <v>500</v>
      </c>
      <c r="L39" s="21">
        <v>500</v>
      </c>
      <c r="M39" s="21">
        <v>500</v>
      </c>
      <c r="N39" s="21">
        <f t="shared" si="15"/>
        <v>6490.49</v>
      </c>
      <c r="P39" s="21">
        <v>3699.04</v>
      </c>
    </row>
    <row r="40" spans="1:16" x14ac:dyDescent="0.3">
      <c r="A40" s="5" t="s">
        <v>39</v>
      </c>
      <c r="B40" s="20">
        <v>1005</v>
      </c>
      <c r="C40" s="20">
        <f>1005</f>
        <v>1005</v>
      </c>
      <c r="D40" s="16">
        <v>1005</v>
      </c>
      <c r="E40" s="21">
        <v>1005</v>
      </c>
      <c r="F40" s="21">
        <v>1005</v>
      </c>
      <c r="G40" s="21">
        <v>1005</v>
      </c>
      <c r="H40" s="21">
        <v>1005</v>
      </c>
      <c r="I40" s="21">
        <v>1005</v>
      </c>
      <c r="J40" s="21">
        <v>1005</v>
      </c>
      <c r="K40" s="21">
        <v>1005</v>
      </c>
      <c r="L40" s="21">
        <v>1005</v>
      </c>
      <c r="M40" s="21">
        <v>1005</v>
      </c>
      <c r="N40" s="21">
        <f t="shared" si="15"/>
        <v>12060</v>
      </c>
      <c r="P40" s="21">
        <v>28255</v>
      </c>
    </row>
    <row r="41" spans="1:16" x14ac:dyDescent="0.3">
      <c r="A41" s="5" t="s">
        <v>40</v>
      </c>
      <c r="B41" s="20"/>
      <c r="C41" s="20">
        <v>198</v>
      </c>
      <c r="D41" s="20">
        <v>0</v>
      </c>
      <c r="E41" s="21">
        <v>115</v>
      </c>
      <c r="F41" s="21">
        <v>115</v>
      </c>
      <c r="G41" s="21">
        <v>115</v>
      </c>
      <c r="H41" s="21">
        <v>115</v>
      </c>
      <c r="I41" s="21">
        <v>115</v>
      </c>
      <c r="J41" s="21">
        <v>115</v>
      </c>
      <c r="K41" s="21">
        <v>115</v>
      </c>
      <c r="L41" s="21">
        <v>115</v>
      </c>
      <c r="M41" s="21">
        <v>115</v>
      </c>
      <c r="N41" s="21">
        <f t="shared" si="15"/>
        <v>1233</v>
      </c>
      <c r="P41" s="21">
        <v>1440.79</v>
      </c>
    </row>
    <row r="42" spans="1:16" x14ac:dyDescent="0.3">
      <c r="A42" s="5" t="s">
        <v>41</v>
      </c>
      <c r="B42" s="16"/>
      <c r="C42" s="16"/>
      <c r="D42" s="16"/>
      <c r="E42" s="17"/>
      <c r="F42" s="21"/>
      <c r="G42" s="17"/>
      <c r="H42" s="17"/>
      <c r="I42" s="21"/>
      <c r="J42" s="21"/>
      <c r="K42" s="21"/>
      <c r="L42" s="21"/>
      <c r="M42" s="17"/>
      <c r="N42" s="21">
        <f t="shared" si="15"/>
        <v>0</v>
      </c>
      <c r="P42" s="17">
        <v>5895.86</v>
      </c>
    </row>
    <row r="43" spans="1:16" x14ac:dyDescent="0.3">
      <c r="A43" s="5" t="s">
        <v>42</v>
      </c>
      <c r="B43" s="16">
        <v>502.15</v>
      </c>
      <c r="C43" s="16">
        <v>502.15</v>
      </c>
      <c r="D43" s="20">
        <v>1004.3</v>
      </c>
      <c r="E43" s="17">
        <v>0</v>
      </c>
      <c r="F43" s="17">
        <v>500</v>
      </c>
      <c r="G43" s="21">
        <v>500</v>
      </c>
      <c r="H43" s="17">
        <v>500</v>
      </c>
      <c r="I43" s="17">
        <v>500</v>
      </c>
      <c r="J43" s="17">
        <v>500</v>
      </c>
      <c r="K43" s="17">
        <v>500</v>
      </c>
      <c r="L43" s="17">
        <v>500</v>
      </c>
      <c r="M43" s="21">
        <v>500</v>
      </c>
      <c r="N43" s="21">
        <f t="shared" si="15"/>
        <v>6008.6</v>
      </c>
      <c r="P43" s="21">
        <v>3816.16</v>
      </c>
    </row>
    <row r="44" spans="1:16" x14ac:dyDescent="0.3">
      <c r="A44" s="5" t="s">
        <v>43</v>
      </c>
      <c r="B44" s="20"/>
      <c r="C44" s="20">
        <v>500.2</v>
      </c>
      <c r="D44" s="20">
        <v>717.62</v>
      </c>
      <c r="E44" s="21">
        <v>730</v>
      </c>
      <c r="F44" s="21">
        <v>730</v>
      </c>
      <c r="G44" s="21">
        <v>730</v>
      </c>
      <c r="H44" s="21">
        <v>730</v>
      </c>
      <c r="I44" s="21">
        <v>730</v>
      </c>
      <c r="J44" s="21">
        <v>730</v>
      </c>
      <c r="K44" s="21">
        <v>730</v>
      </c>
      <c r="L44" s="21">
        <v>730</v>
      </c>
      <c r="M44" s="21">
        <v>730</v>
      </c>
      <c r="N44" s="21">
        <f t="shared" si="15"/>
        <v>7787.82</v>
      </c>
      <c r="P44" s="21">
        <v>19439.599999999999</v>
      </c>
    </row>
    <row r="45" spans="1:16" x14ac:dyDescent="0.3">
      <c r="A45" s="5" t="s">
        <v>44</v>
      </c>
      <c r="B45" s="20">
        <v>1128.04</v>
      </c>
      <c r="C45" s="20">
        <v>839.07</v>
      </c>
      <c r="D45" s="20">
        <v>839.07</v>
      </c>
      <c r="E45" s="21">
        <v>830</v>
      </c>
      <c r="F45" s="21">
        <v>830</v>
      </c>
      <c r="G45" s="21">
        <v>830</v>
      </c>
      <c r="H45" s="21">
        <v>830</v>
      </c>
      <c r="I45" s="21">
        <v>830</v>
      </c>
      <c r="J45" s="21">
        <v>830</v>
      </c>
      <c r="K45" s="21">
        <v>830</v>
      </c>
      <c r="L45" s="21">
        <v>830</v>
      </c>
      <c r="M45" s="21">
        <v>830</v>
      </c>
      <c r="N45" s="21">
        <f t="shared" si="15"/>
        <v>10276.18</v>
      </c>
      <c r="P45" s="21">
        <v>9848.67</v>
      </c>
    </row>
    <row r="46" spans="1:16" x14ac:dyDescent="0.3">
      <c r="A46" s="5" t="s">
        <v>45</v>
      </c>
      <c r="B46" s="16">
        <v>97.79</v>
      </c>
      <c r="C46" s="20">
        <v>0</v>
      </c>
      <c r="D46" s="16">
        <v>73.209999999999994</v>
      </c>
      <c r="E46" s="21">
        <v>950</v>
      </c>
      <c r="F46" s="21">
        <v>950</v>
      </c>
      <c r="G46" s="21">
        <v>950</v>
      </c>
      <c r="H46" s="21">
        <v>950</v>
      </c>
      <c r="I46" s="21">
        <v>950</v>
      </c>
      <c r="J46" s="21">
        <v>950</v>
      </c>
      <c r="K46" s="21">
        <v>950</v>
      </c>
      <c r="L46" s="21">
        <v>950</v>
      </c>
      <c r="M46" s="21">
        <v>950</v>
      </c>
      <c r="N46" s="21">
        <f t="shared" si="15"/>
        <v>8721</v>
      </c>
      <c r="P46" s="21">
        <v>14804.65</v>
      </c>
    </row>
    <row r="47" spans="1:16" x14ac:dyDescent="0.3">
      <c r="A47" s="5" t="s">
        <v>46</v>
      </c>
      <c r="B47" s="20">
        <v>487.36</v>
      </c>
      <c r="C47" s="20">
        <v>520.28</v>
      </c>
      <c r="D47" s="20">
        <v>424.62</v>
      </c>
      <c r="E47" s="21">
        <f>7777*0.107*1.15</f>
        <v>956.95984999999996</v>
      </c>
      <c r="F47" s="21">
        <f>7777*0.034*1.15</f>
        <v>304.08069999999998</v>
      </c>
      <c r="G47" s="21">
        <f>7777*0.207*1.15</f>
        <v>1851.3148499999998</v>
      </c>
      <c r="H47" s="21">
        <f>7777*0.09*1.15</f>
        <v>804.91949999999986</v>
      </c>
      <c r="I47" s="21">
        <v>500</v>
      </c>
      <c r="J47" s="21">
        <f>7777*0.02*1.15+500</f>
        <v>678.87099999999998</v>
      </c>
      <c r="K47" s="21">
        <f>7777*0.061*1.15</f>
        <v>545.5565499999999</v>
      </c>
      <c r="L47" s="21">
        <f>7777*0.234*1.15</f>
        <v>2092.7907</v>
      </c>
      <c r="M47" s="21">
        <f>7777*0.05*1.15</f>
        <v>447.17750000000001</v>
      </c>
      <c r="N47" s="21">
        <f t="shared" si="15"/>
        <v>9613.9306500000002</v>
      </c>
      <c r="P47" s="21">
        <v>7406.87</v>
      </c>
    </row>
    <row r="48" spans="1:16" x14ac:dyDescent="0.3">
      <c r="A48" s="5" t="s">
        <v>47</v>
      </c>
      <c r="B48" s="20">
        <v>1110.47</v>
      </c>
      <c r="C48" s="20">
        <v>0</v>
      </c>
      <c r="D48" s="20">
        <v>0</v>
      </c>
      <c r="E48" s="21">
        <v>350</v>
      </c>
      <c r="F48" s="21">
        <v>350</v>
      </c>
      <c r="G48" s="21">
        <v>350</v>
      </c>
      <c r="H48" s="21">
        <v>350</v>
      </c>
      <c r="I48" s="21">
        <v>350</v>
      </c>
      <c r="J48" s="21">
        <v>350</v>
      </c>
      <c r="K48" s="21">
        <v>350</v>
      </c>
      <c r="L48" s="21">
        <v>350</v>
      </c>
      <c r="M48" s="21">
        <v>350</v>
      </c>
      <c r="N48" s="21">
        <f t="shared" si="15"/>
        <v>4260.47</v>
      </c>
      <c r="P48" s="21">
        <v>4109.91</v>
      </c>
    </row>
    <row r="49" spans="1:16" x14ac:dyDescent="0.3">
      <c r="A49" s="5" t="s">
        <v>48</v>
      </c>
      <c r="B49" s="16"/>
      <c r="C49" s="20">
        <v>0</v>
      </c>
      <c r="D49" s="16"/>
      <c r="E49" s="17"/>
      <c r="F49" s="21">
        <v>1040</v>
      </c>
      <c r="G49" s="21"/>
      <c r="H49" s="17"/>
      <c r="I49" s="17"/>
      <c r="J49" s="17"/>
      <c r="K49" s="17"/>
      <c r="L49" s="17"/>
      <c r="M49" s="17"/>
      <c r="N49" s="21">
        <f t="shared" si="15"/>
        <v>1040</v>
      </c>
      <c r="P49" s="17">
        <v>990.49</v>
      </c>
    </row>
    <row r="50" spans="1:16" x14ac:dyDescent="0.3">
      <c r="A50" s="5" t="s">
        <v>49</v>
      </c>
      <c r="B50" s="20">
        <v>1450</v>
      </c>
      <c r="C50" s="20">
        <v>1450</v>
      </c>
      <c r="D50" s="20">
        <v>1450</v>
      </c>
      <c r="E50" s="21">
        <v>1450</v>
      </c>
      <c r="F50" s="21">
        <v>1450</v>
      </c>
      <c r="G50" s="21">
        <v>1450</v>
      </c>
      <c r="H50" s="21">
        <v>1450</v>
      </c>
      <c r="I50" s="21">
        <v>1450</v>
      </c>
      <c r="J50" s="21">
        <v>1450</v>
      </c>
      <c r="K50" s="21">
        <v>1450</v>
      </c>
      <c r="L50" s="21">
        <v>1450</v>
      </c>
      <c r="M50" s="21">
        <v>1450</v>
      </c>
      <c r="N50" s="21">
        <f t="shared" si="15"/>
        <v>17400</v>
      </c>
      <c r="P50" s="21">
        <v>30947</v>
      </c>
    </row>
    <row r="51" spans="1:16" x14ac:dyDescent="0.3">
      <c r="A51" s="5" t="s">
        <v>50</v>
      </c>
      <c r="B51" s="16"/>
      <c r="C51" s="20">
        <v>0</v>
      </c>
      <c r="D51" s="16"/>
      <c r="E51" s="17"/>
      <c r="F51" s="17"/>
      <c r="G51" s="21">
        <v>1500</v>
      </c>
      <c r="H51" s="17"/>
      <c r="I51" s="17"/>
      <c r="J51" s="17">
        <v>1500</v>
      </c>
      <c r="K51" s="17"/>
      <c r="L51" s="17"/>
      <c r="M51" s="17">
        <v>1500</v>
      </c>
      <c r="N51" s="21">
        <f t="shared" si="15"/>
        <v>4500</v>
      </c>
      <c r="P51" s="17">
        <v>3855</v>
      </c>
    </row>
    <row r="52" spans="1:16" x14ac:dyDescent="0.3">
      <c r="A52" s="5" t="s">
        <v>51</v>
      </c>
      <c r="B52" s="16"/>
      <c r="C52" s="16">
        <v>262.95999999999998</v>
      </c>
      <c r="D52" s="16"/>
      <c r="E52" s="17"/>
      <c r="F52" s="17"/>
      <c r="G52" s="17"/>
      <c r="H52" s="17"/>
      <c r="I52" s="17"/>
      <c r="J52" s="17"/>
      <c r="K52" s="17"/>
      <c r="L52" s="17"/>
      <c r="M52" s="21"/>
      <c r="N52" s="21">
        <f t="shared" si="15"/>
        <v>262.95999999999998</v>
      </c>
      <c r="P52" s="21">
        <v>-400</v>
      </c>
    </row>
    <row r="53" spans="1:16" x14ac:dyDescent="0.3">
      <c r="A53" s="5" t="s">
        <v>52</v>
      </c>
      <c r="B53" s="16"/>
      <c r="C53" s="16"/>
      <c r="D53" s="16"/>
      <c r="E53" s="17"/>
      <c r="F53" s="17">
        <v>4400</v>
      </c>
      <c r="G53" s="17">
        <v>4400</v>
      </c>
      <c r="H53" s="17">
        <v>4400</v>
      </c>
      <c r="I53" s="17">
        <v>4400</v>
      </c>
      <c r="J53" s="17">
        <v>4400</v>
      </c>
      <c r="K53" s="17">
        <v>4400</v>
      </c>
      <c r="L53" s="17">
        <v>4400</v>
      </c>
      <c r="M53" s="17">
        <v>4400</v>
      </c>
      <c r="N53" s="21">
        <f t="shared" si="15"/>
        <v>35200</v>
      </c>
      <c r="P53" s="17">
        <v>7250</v>
      </c>
    </row>
    <row r="54" spans="1:16" x14ac:dyDescent="0.3">
      <c r="A54" s="5" t="s">
        <v>53</v>
      </c>
      <c r="B54" s="16"/>
      <c r="C54" s="16"/>
      <c r="D54" s="16"/>
      <c r="E54" s="17"/>
      <c r="F54" s="21">
        <v>5500</v>
      </c>
      <c r="G54" s="21">
        <v>5500</v>
      </c>
      <c r="H54" s="21">
        <v>5500</v>
      </c>
      <c r="I54" s="21">
        <v>5500</v>
      </c>
      <c r="J54" s="21">
        <v>5500</v>
      </c>
      <c r="K54" s="21">
        <v>5500</v>
      </c>
      <c r="L54" s="21">
        <v>5500</v>
      </c>
      <c r="M54" s="21">
        <v>5500</v>
      </c>
      <c r="N54" s="21">
        <f t="shared" si="15"/>
        <v>44000</v>
      </c>
      <c r="P54" s="21">
        <v>42592.24</v>
      </c>
    </row>
    <row r="55" spans="1:16" x14ac:dyDescent="0.3">
      <c r="A55" s="5" t="s">
        <v>54</v>
      </c>
      <c r="B55" s="20">
        <v>939.8</v>
      </c>
      <c r="C55" s="20">
        <v>293.74</v>
      </c>
      <c r="D55" s="20">
        <v>232.58</v>
      </c>
      <c r="E55" s="21">
        <v>325</v>
      </c>
      <c r="F55" s="21">
        <v>325</v>
      </c>
      <c r="G55" s="21">
        <v>325</v>
      </c>
      <c r="H55" s="21">
        <v>325</v>
      </c>
      <c r="I55" s="21">
        <v>325</v>
      </c>
      <c r="J55" s="21">
        <v>325</v>
      </c>
      <c r="K55" s="21">
        <v>325</v>
      </c>
      <c r="L55" s="21">
        <v>325</v>
      </c>
      <c r="M55" s="21">
        <v>325</v>
      </c>
      <c r="N55" s="21">
        <f t="shared" si="15"/>
        <v>4391.12</v>
      </c>
      <c r="P55" s="21">
        <v>4162.84</v>
      </c>
    </row>
    <row r="56" spans="1:16" x14ac:dyDescent="0.3">
      <c r="A56" s="5" t="s">
        <v>55</v>
      </c>
      <c r="B56" s="20">
        <v>32.57</v>
      </c>
      <c r="C56" s="20">
        <v>250</v>
      </c>
      <c r="D56" s="20">
        <v>0</v>
      </c>
      <c r="E56" s="21"/>
      <c r="F56" s="21"/>
      <c r="G56" s="21">
        <v>500</v>
      </c>
      <c r="H56" s="21"/>
      <c r="I56" s="21"/>
      <c r="J56" s="21">
        <v>500</v>
      </c>
      <c r="K56" s="21"/>
      <c r="L56" s="21"/>
      <c r="M56" s="21">
        <v>1000</v>
      </c>
      <c r="N56" s="21">
        <f t="shared" si="15"/>
        <v>2282.5699999999997</v>
      </c>
      <c r="P56" s="21">
        <v>6173.43</v>
      </c>
    </row>
    <row r="57" spans="1:16" x14ac:dyDescent="0.3">
      <c r="A57" s="5" t="s">
        <v>56</v>
      </c>
      <c r="B57" s="20"/>
      <c r="C57" s="20">
        <v>0</v>
      </c>
      <c r="D57" s="20">
        <v>58.23</v>
      </c>
      <c r="E57" s="17"/>
      <c r="F57" s="21"/>
      <c r="G57" s="21">
        <v>100</v>
      </c>
      <c r="H57" s="17"/>
      <c r="I57" s="21"/>
      <c r="J57" s="17">
        <v>100</v>
      </c>
      <c r="K57" s="21"/>
      <c r="L57" s="21"/>
      <c r="M57" s="17">
        <v>100</v>
      </c>
      <c r="N57" s="21">
        <f t="shared" si="15"/>
        <v>358.23</v>
      </c>
      <c r="P57" s="17">
        <v>374.47</v>
      </c>
    </row>
    <row r="58" spans="1:16" x14ac:dyDescent="0.3">
      <c r="A58" s="5" t="s">
        <v>57</v>
      </c>
      <c r="B58" s="20">
        <v>1276.08</v>
      </c>
      <c r="C58" s="20">
        <v>1276.08</v>
      </c>
      <c r="D58" s="20">
        <v>1276.0899999999999</v>
      </c>
      <c r="E58" s="21">
        <v>1500</v>
      </c>
      <c r="F58" s="21">
        <v>1500</v>
      </c>
      <c r="G58" s="21">
        <v>1500</v>
      </c>
      <c r="H58" s="21">
        <v>1500</v>
      </c>
      <c r="I58" s="21">
        <v>1500</v>
      </c>
      <c r="J58" s="21">
        <v>1500</v>
      </c>
      <c r="K58" s="21">
        <v>1500</v>
      </c>
      <c r="L58" s="21">
        <v>1500</v>
      </c>
      <c r="M58" s="21">
        <v>1500</v>
      </c>
      <c r="N58" s="21">
        <f t="shared" si="15"/>
        <v>17328.25</v>
      </c>
      <c r="P58" s="21">
        <v>13102.29</v>
      </c>
    </row>
    <row r="59" spans="1:16" x14ac:dyDescent="0.3">
      <c r="A59" s="5" t="s">
        <v>58</v>
      </c>
      <c r="B59" s="20"/>
      <c r="C59" s="16"/>
      <c r="D59" s="20">
        <v>314.61</v>
      </c>
      <c r="E59" s="21"/>
      <c r="F59" s="21"/>
      <c r="G59" s="21">
        <v>1200</v>
      </c>
      <c r="H59" s="21"/>
      <c r="I59" s="17"/>
      <c r="J59" s="17">
        <v>1200</v>
      </c>
      <c r="K59" s="17"/>
      <c r="L59" s="17"/>
      <c r="M59" s="17">
        <v>1200</v>
      </c>
      <c r="N59" s="21">
        <f t="shared" si="15"/>
        <v>3914.61</v>
      </c>
      <c r="P59" s="17">
        <v>5232.3500000000004</v>
      </c>
    </row>
    <row r="60" spans="1:16" x14ac:dyDescent="0.3">
      <c r="A60" s="5" t="s">
        <v>59</v>
      </c>
      <c r="B60" s="20">
        <v>271.22000000000003</v>
      </c>
      <c r="C60" s="20">
        <v>605.44000000000005</v>
      </c>
      <c r="D60" s="20">
        <v>453.95</v>
      </c>
      <c r="E60" s="21">
        <v>1375</v>
      </c>
      <c r="F60" s="21">
        <v>1375</v>
      </c>
      <c r="G60" s="21">
        <v>1375</v>
      </c>
      <c r="H60" s="21">
        <v>1375</v>
      </c>
      <c r="I60" s="21">
        <v>1375</v>
      </c>
      <c r="J60" s="21">
        <v>1375</v>
      </c>
      <c r="K60" s="21">
        <v>1375</v>
      </c>
      <c r="L60" s="21">
        <v>1375</v>
      </c>
      <c r="M60" s="21">
        <v>1375</v>
      </c>
      <c r="N60" s="21">
        <f t="shared" si="15"/>
        <v>13705.61</v>
      </c>
      <c r="P60" s="21">
        <v>14098.18</v>
      </c>
    </row>
    <row r="61" spans="1:16" x14ac:dyDescent="0.3">
      <c r="A61" s="5" t="s">
        <v>60</v>
      </c>
      <c r="B61" s="20"/>
      <c r="C61" s="20"/>
      <c r="D61" s="20"/>
      <c r="E61" s="21"/>
      <c r="F61" s="21"/>
      <c r="G61" s="21"/>
      <c r="H61" s="21"/>
      <c r="I61" s="21"/>
      <c r="J61" s="21"/>
      <c r="K61" s="21"/>
      <c r="L61" s="21"/>
      <c r="M61" s="21"/>
      <c r="N61" s="21"/>
      <c r="P61" s="21">
        <v>20091.91</v>
      </c>
    </row>
    <row r="62" spans="1:16" x14ac:dyDescent="0.3">
      <c r="A62" s="5" t="s">
        <v>61</v>
      </c>
      <c r="B62" s="16"/>
      <c r="C62" s="16"/>
      <c r="D62" s="16"/>
      <c r="E62" s="17"/>
      <c r="F62" s="17"/>
      <c r="G62" s="17"/>
      <c r="H62" s="17"/>
      <c r="I62" s="17"/>
      <c r="J62" s="21"/>
      <c r="K62" s="17"/>
      <c r="L62" s="17"/>
      <c r="M62" s="17"/>
      <c r="N62" s="21">
        <f t="shared" si="15"/>
        <v>0</v>
      </c>
      <c r="P62" s="17">
        <v>90.55</v>
      </c>
    </row>
    <row r="63" spans="1:16" x14ac:dyDescent="0.3">
      <c r="A63" s="5" t="s">
        <v>62</v>
      </c>
      <c r="B63" s="20"/>
      <c r="C63" s="20">
        <v>0</v>
      </c>
      <c r="D63" s="20">
        <v>0</v>
      </c>
      <c r="E63" s="21"/>
      <c r="F63" s="17"/>
      <c r="G63" s="21">
        <v>500</v>
      </c>
      <c r="H63" s="17"/>
      <c r="I63" s="21"/>
      <c r="J63" s="17">
        <v>500</v>
      </c>
      <c r="K63" s="17"/>
      <c r="L63" s="17"/>
      <c r="M63" s="17">
        <v>500</v>
      </c>
      <c r="N63" s="21">
        <f t="shared" si="15"/>
        <v>1500</v>
      </c>
      <c r="P63" s="17">
        <v>1469.3</v>
      </c>
    </row>
    <row r="64" spans="1:16" x14ac:dyDescent="0.3">
      <c r="A64" s="5" t="s">
        <v>63</v>
      </c>
      <c r="B64" s="16">
        <v>365.93</v>
      </c>
      <c r="C64" s="16">
        <v>688.11</v>
      </c>
      <c r="D64" s="16">
        <v>15.79</v>
      </c>
      <c r="E64" s="17"/>
      <c r="F64" s="17"/>
      <c r="G64" s="21"/>
      <c r="H64" s="17"/>
      <c r="I64" s="17"/>
      <c r="J64" s="21"/>
      <c r="K64" s="17"/>
      <c r="L64" s="17"/>
      <c r="M64" s="17"/>
      <c r="N64" s="21">
        <f t="shared" si="15"/>
        <v>1069.83</v>
      </c>
      <c r="P64" s="17">
        <v>2266.4299999999998</v>
      </c>
    </row>
    <row r="65" spans="1:16" x14ac:dyDescent="0.3">
      <c r="A65" s="5" t="s">
        <v>64</v>
      </c>
      <c r="B65" s="22">
        <f>SUM(B28:B64)</f>
        <v>11868.379999999997</v>
      </c>
      <c r="C65" s="22">
        <f t="shared" ref="C65:M65" si="16">SUM(C28:C64)</f>
        <v>13061.14</v>
      </c>
      <c r="D65" s="22">
        <f t="shared" si="16"/>
        <v>11863.650000000001</v>
      </c>
      <c r="E65" s="23">
        <f t="shared" si="16"/>
        <v>18125.543850000002</v>
      </c>
      <c r="F65" s="23">
        <f t="shared" si="16"/>
        <v>28556.481700000004</v>
      </c>
      <c r="G65" s="23">
        <f t="shared" si="16"/>
        <v>30804.386849999999</v>
      </c>
      <c r="H65" s="23">
        <f t="shared" si="16"/>
        <v>27209.606500000002</v>
      </c>
      <c r="I65" s="23">
        <f t="shared" si="16"/>
        <v>26026.647000000001</v>
      </c>
      <c r="J65" s="23">
        <f t="shared" si="16"/>
        <v>27822.845000000001</v>
      </c>
      <c r="K65" s="23">
        <f t="shared" si="16"/>
        <v>25325.623549999997</v>
      </c>
      <c r="L65" s="23">
        <f t="shared" si="16"/>
        <v>24214.9457</v>
      </c>
      <c r="M65" s="23">
        <f t="shared" si="16"/>
        <v>27075.924500000001</v>
      </c>
      <c r="N65" s="23">
        <f t="shared" ref="N65" si="17">(((((((((((B65)+(C65))+(D65))+(E65))+(F65))+(G65))+(H65))+(I65))+(J65))+(K65))+(L65))+(M65)</f>
        <v>271955.17465</v>
      </c>
      <c r="O65" s="15">
        <f>SUM(B65:M65)</f>
        <v>271955.17465</v>
      </c>
      <c r="P65" s="23">
        <f t="shared" ref="P65" si="18">SUM(P28:P64)</f>
        <v>322698.18999999983</v>
      </c>
    </row>
    <row r="66" spans="1:16" x14ac:dyDescent="0.3">
      <c r="A66" s="5" t="s">
        <v>65</v>
      </c>
      <c r="B66" s="22">
        <f>B65+B25</f>
        <v>46805.82</v>
      </c>
      <c r="C66" s="22">
        <f t="shared" ref="C66:P66" si="19">C65+C25</f>
        <v>40882.14</v>
      </c>
      <c r="D66" s="22">
        <f t="shared" si="19"/>
        <v>64632.35</v>
      </c>
      <c r="E66" s="23">
        <f t="shared" si="19"/>
        <v>69451.943850000011</v>
      </c>
      <c r="F66" s="23">
        <f t="shared" si="19"/>
        <v>82546.881699999998</v>
      </c>
      <c r="G66" s="23">
        <f t="shared" si="19"/>
        <v>95045.186849999998</v>
      </c>
      <c r="H66" s="23">
        <f t="shared" si="19"/>
        <v>97950.806500000006</v>
      </c>
      <c r="I66" s="23">
        <f t="shared" si="19"/>
        <v>96767.847000000009</v>
      </c>
      <c r="J66" s="23">
        <f t="shared" si="19"/>
        <v>98564.045000000013</v>
      </c>
      <c r="K66" s="23">
        <f t="shared" si="19"/>
        <v>96066.823550000001</v>
      </c>
      <c r="L66" s="23">
        <f t="shared" si="19"/>
        <v>94956.145700000008</v>
      </c>
      <c r="M66" s="23">
        <f t="shared" si="19"/>
        <v>97817.124500000005</v>
      </c>
      <c r="N66" s="23">
        <f t="shared" si="19"/>
        <v>981487.11464999989</v>
      </c>
      <c r="O66" s="15">
        <f>SUM(B66:M66)</f>
        <v>981487.11465</v>
      </c>
      <c r="P66" s="23">
        <f t="shared" si="19"/>
        <v>870326.37999999989</v>
      </c>
    </row>
    <row r="67" spans="1:16" x14ac:dyDescent="0.3">
      <c r="A67" s="5" t="s">
        <v>66</v>
      </c>
      <c r="B67" s="22">
        <f>(B14)-(B66)</f>
        <v>39294.120000000003</v>
      </c>
      <c r="C67" s="22">
        <f t="shared" ref="C67:M67" si="20">(C14)-(C66)</f>
        <v>677297.12</v>
      </c>
      <c r="D67" s="22">
        <f t="shared" si="20"/>
        <v>-12278.720000000001</v>
      </c>
      <c r="E67" s="23">
        <f t="shared" si="20"/>
        <v>-31321.943850000011</v>
      </c>
      <c r="F67" s="23">
        <f t="shared" si="20"/>
        <v>-43761.881699999998</v>
      </c>
      <c r="G67" s="23">
        <f t="shared" si="20"/>
        <v>-46800.186849999998</v>
      </c>
      <c r="H67" s="23">
        <f t="shared" si="20"/>
        <v>-59154.806500000006</v>
      </c>
      <c r="I67" s="23">
        <f t="shared" si="20"/>
        <v>-52395.847000000009</v>
      </c>
      <c r="J67" s="23">
        <f t="shared" si="20"/>
        <v>-42219.045000000013</v>
      </c>
      <c r="K67" s="23">
        <f t="shared" si="20"/>
        <v>-42663.823550000001</v>
      </c>
      <c r="L67" s="23">
        <f t="shared" si="20"/>
        <v>-39741.145700000008</v>
      </c>
      <c r="M67" s="23">
        <f t="shared" si="20"/>
        <v>16859.135499999989</v>
      </c>
      <c r="N67" s="23">
        <f>(N15)-(N66)</f>
        <v>363112.9753500002</v>
      </c>
      <c r="O67" s="15">
        <f>SUM(B67:M67)</f>
        <v>363112.97534999985</v>
      </c>
      <c r="P67" s="23">
        <f>(P15)-(P66)</f>
        <v>43157.950000000186</v>
      </c>
    </row>
    <row r="68" spans="1:16" x14ac:dyDescent="0.3">
      <c r="A68" s="5"/>
      <c r="B68" s="24"/>
      <c r="C68" s="24"/>
      <c r="D68" s="24"/>
      <c r="E68" s="25"/>
      <c r="F68" s="25"/>
      <c r="G68" s="25"/>
      <c r="H68" s="25"/>
      <c r="I68" s="25"/>
      <c r="J68" s="25"/>
      <c r="K68" s="25"/>
      <c r="L68" s="25"/>
      <c r="M68" s="25"/>
      <c r="N68" s="25"/>
      <c r="P68" s="25"/>
    </row>
    <row r="69" spans="1:16" x14ac:dyDescent="0.3">
      <c r="A69" s="5" t="s">
        <v>67</v>
      </c>
      <c r="B69" s="16"/>
      <c r="C69" s="16"/>
      <c r="D69" s="16"/>
      <c r="E69" s="17"/>
      <c r="F69" s="17"/>
      <c r="G69" s="17"/>
      <c r="H69" s="17"/>
      <c r="I69" s="17"/>
      <c r="J69" s="17"/>
      <c r="K69" s="17"/>
      <c r="L69" s="17"/>
      <c r="M69" s="17"/>
      <c r="N69" s="17"/>
      <c r="P69" s="17"/>
    </row>
    <row r="70" spans="1:16" x14ac:dyDescent="0.3">
      <c r="A70" s="5" t="s">
        <v>68</v>
      </c>
      <c r="B70" s="20">
        <v>0.14000000000000001</v>
      </c>
      <c r="C70" s="20">
        <v>97.88</v>
      </c>
      <c r="D70" s="20">
        <v>1515.31</v>
      </c>
      <c r="E70" s="21">
        <v>500</v>
      </c>
      <c r="F70" s="21">
        <v>500</v>
      </c>
      <c r="G70" s="21">
        <v>500</v>
      </c>
      <c r="H70" s="21">
        <v>500</v>
      </c>
      <c r="I70" s="21">
        <v>500</v>
      </c>
      <c r="J70" s="21">
        <v>500</v>
      </c>
      <c r="K70" s="21">
        <v>500</v>
      </c>
      <c r="L70" s="21">
        <v>500</v>
      </c>
      <c r="M70" s="21">
        <v>500</v>
      </c>
      <c r="N70" s="21">
        <f t="shared" ref="N70:N73" si="21">SUM(B70:M70)</f>
        <v>6113.33</v>
      </c>
      <c r="O70" s="15">
        <f>SUM(B70:M70)</f>
        <v>6113.33</v>
      </c>
      <c r="P70" s="21">
        <v>7.65</v>
      </c>
    </row>
    <row r="71" spans="1:16" x14ac:dyDescent="0.3">
      <c r="A71" s="5" t="s">
        <v>69</v>
      </c>
      <c r="B71" s="16"/>
      <c r="C71" s="20">
        <v>0</v>
      </c>
      <c r="D71" s="20">
        <v>258.08</v>
      </c>
      <c r="E71" s="17"/>
      <c r="F71" s="17"/>
      <c r="G71" s="17"/>
      <c r="H71" s="17"/>
      <c r="I71" s="21"/>
      <c r="J71" s="21"/>
      <c r="K71" s="17"/>
      <c r="L71" s="17"/>
      <c r="M71" s="21"/>
      <c r="N71" s="21">
        <f t="shared" si="21"/>
        <v>258.08</v>
      </c>
      <c r="O71" s="15">
        <f t="shared" ref="O71:O73" si="22">SUM(B71:M71)</f>
        <v>258.08</v>
      </c>
      <c r="P71" s="21">
        <v>-1916.34</v>
      </c>
    </row>
    <row r="72" spans="1:16" x14ac:dyDescent="0.3">
      <c r="A72" s="5" t="s">
        <v>70</v>
      </c>
      <c r="B72" s="16"/>
      <c r="C72" s="20"/>
      <c r="D72" s="20"/>
      <c r="E72" s="17"/>
      <c r="F72" s="17"/>
      <c r="G72" s="17"/>
      <c r="H72" s="17"/>
      <c r="I72" s="21"/>
      <c r="J72" s="21"/>
      <c r="K72" s="17"/>
      <c r="L72" s="17"/>
      <c r="M72" s="21"/>
      <c r="N72" s="21">
        <v>0</v>
      </c>
      <c r="O72" s="15"/>
      <c r="P72" s="21">
        <v>1117.52</v>
      </c>
    </row>
    <row r="73" spans="1:16" x14ac:dyDescent="0.3">
      <c r="A73" s="5" t="s">
        <v>71</v>
      </c>
      <c r="B73" s="20">
        <v>-2049.54</v>
      </c>
      <c r="C73" s="20">
        <v>-2049.54</v>
      </c>
      <c r="D73" s="20">
        <v>-2049.54</v>
      </c>
      <c r="E73" s="21">
        <v>-2049.54</v>
      </c>
      <c r="F73" s="21">
        <v>-2049.54</v>
      </c>
      <c r="G73" s="21">
        <v>-2049.54</v>
      </c>
      <c r="H73" s="21">
        <v>-2049.54</v>
      </c>
      <c r="I73" s="21">
        <v>-2049.54</v>
      </c>
      <c r="J73" s="21">
        <v>-2049.54</v>
      </c>
      <c r="K73" s="21">
        <v>-2049.54</v>
      </c>
      <c r="L73" s="21">
        <v>-2049.54</v>
      </c>
      <c r="M73" s="21">
        <v>-2049.54</v>
      </c>
      <c r="N73" s="21">
        <f t="shared" si="21"/>
        <v>-24594.480000000007</v>
      </c>
      <c r="O73" s="15">
        <f t="shared" si="22"/>
        <v>-24594.480000000007</v>
      </c>
      <c r="P73" s="21">
        <v>-21358.799999999999</v>
      </c>
    </row>
    <row r="74" spans="1:16" x14ac:dyDescent="0.3">
      <c r="A74" s="5" t="s">
        <v>72</v>
      </c>
      <c r="B74" s="22">
        <f>SUM(B70:B73)</f>
        <v>-2049.4</v>
      </c>
      <c r="C74" s="22">
        <f t="shared" ref="C74:P74" si="23">SUM(C70:C73)</f>
        <v>-1951.6599999999999</v>
      </c>
      <c r="D74" s="22">
        <f t="shared" si="23"/>
        <v>-276.15000000000009</v>
      </c>
      <c r="E74" s="23">
        <f t="shared" si="23"/>
        <v>-1549.54</v>
      </c>
      <c r="F74" s="23">
        <f t="shared" si="23"/>
        <v>-1549.54</v>
      </c>
      <c r="G74" s="23">
        <f t="shared" si="23"/>
        <v>-1549.54</v>
      </c>
      <c r="H74" s="23">
        <f t="shared" si="23"/>
        <v>-1549.54</v>
      </c>
      <c r="I74" s="23">
        <f t="shared" si="23"/>
        <v>-1549.54</v>
      </c>
      <c r="J74" s="23">
        <f t="shared" si="23"/>
        <v>-1549.54</v>
      </c>
      <c r="K74" s="23">
        <f t="shared" si="23"/>
        <v>-1549.54</v>
      </c>
      <c r="L74" s="23">
        <f t="shared" si="23"/>
        <v>-1549.54</v>
      </c>
      <c r="M74" s="23">
        <f t="shared" si="23"/>
        <v>-1549.54</v>
      </c>
      <c r="N74" s="23">
        <f t="shared" si="23"/>
        <v>-18223.070000000007</v>
      </c>
      <c r="O74" s="15">
        <f>SUM(B74:M74)</f>
        <v>-18223.070000000003</v>
      </c>
      <c r="P74" s="23">
        <f t="shared" si="23"/>
        <v>-22149.969999999998</v>
      </c>
    </row>
    <row r="75" spans="1:16" hidden="1" x14ac:dyDescent="0.3">
      <c r="A75" s="5" t="s">
        <v>73</v>
      </c>
      <c r="B75" s="22">
        <f t="shared" ref="B75:M75" si="24">(B74)-(0)</f>
        <v>-2049.4</v>
      </c>
      <c r="C75" s="22">
        <f t="shared" si="24"/>
        <v>-1951.6599999999999</v>
      </c>
      <c r="D75" s="22">
        <f t="shared" si="24"/>
        <v>-276.15000000000009</v>
      </c>
      <c r="E75" s="23">
        <f t="shared" si="24"/>
        <v>-1549.54</v>
      </c>
      <c r="F75" s="23">
        <f t="shared" si="24"/>
        <v>-1549.54</v>
      </c>
      <c r="G75" s="23">
        <f t="shared" si="24"/>
        <v>-1549.54</v>
      </c>
      <c r="H75" s="23">
        <f t="shared" si="24"/>
        <v>-1549.54</v>
      </c>
      <c r="I75" s="23">
        <f t="shared" si="24"/>
        <v>-1549.54</v>
      </c>
      <c r="J75" s="23">
        <f t="shared" si="24"/>
        <v>-1549.54</v>
      </c>
      <c r="K75" s="23">
        <f t="shared" si="24"/>
        <v>-1549.54</v>
      </c>
      <c r="L75" s="23">
        <f t="shared" si="24"/>
        <v>-1549.54</v>
      </c>
      <c r="M75" s="23">
        <f t="shared" si="24"/>
        <v>-1549.54</v>
      </c>
      <c r="N75" s="23">
        <f t="shared" ref="N75" si="25">(((((((((((B75)+(C75))+(D75))+(E75))+(F75))+(G75))+(H75))+(I75))+(J75))+(K75))+(L75))+(M75)</f>
        <v>-18223.070000000003</v>
      </c>
      <c r="P75" s="23">
        <f t="shared" ref="P75" si="26">(P74)-(0)</f>
        <v>-22149.969999999998</v>
      </c>
    </row>
    <row r="76" spans="1:16" x14ac:dyDescent="0.3">
      <c r="A76" s="5"/>
      <c r="B76" s="22"/>
      <c r="C76" s="22"/>
      <c r="D76" s="22"/>
      <c r="E76" s="23"/>
      <c r="F76" s="23"/>
      <c r="G76" s="23"/>
      <c r="H76" s="23"/>
      <c r="I76" s="23"/>
      <c r="J76" s="23"/>
      <c r="K76" s="23"/>
      <c r="L76" s="23"/>
      <c r="M76" s="23"/>
      <c r="N76" s="23"/>
      <c r="P76" s="23"/>
    </row>
    <row r="77" spans="1:16" x14ac:dyDescent="0.3">
      <c r="A77" s="5" t="s">
        <v>74</v>
      </c>
      <c r="B77" s="22">
        <f>(B67)+(B74)</f>
        <v>37244.720000000001</v>
      </c>
      <c r="C77" s="22">
        <f t="shared" ref="C77:N77" si="27">(C67)+(C74)</f>
        <v>675345.46</v>
      </c>
      <c r="D77" s="22">
        <f t="shared" si="27"/>
        <v>-12554.87</v>
      </c>
      <c r="E77" s="23">
        <f t="shared" si="27"/>
        <v>-32871.483850000011</v>
      </c>
      <c r="F77" s="23">
        <f t="shared" si="27"/>
        <v>-45311.421699999999</v>
      </c>
      <c r="G77" s="23">
        <f t="shared" si="27"/>
        <v>-48349.726849999999</v>
      </c>
      <c r="H77" s="23">
        <f t="shared" si="27"/>
        <v>-60704.346500000007</v>
      </c>
      <c r="I77" s="23">
        <f t="shared" si="27"/>
        <v>-53945.38700000001</v>
      </c>
      <c r="J77" s="23">
        <f t="shared" si="27"/>
        <v>-43768.585000000014</v>
      </c>
      <c r="K77" s="23">
        <f t="shared" si="27"/>
        <v>-44213.363550000002</v>
      </c>
      <c r="L77" s="23">
        <f t="shared" si="27"/>
        <v>-41290.685700000009</v>
      </c>
      <c r="M77" s="23">
        <f t="shared" si="27"/>
        <v>15309.595499999989</v>
      </c>
      <c r="N77" s="23">
        <f t="shared" si="27"/>
        <v>344889.90535000019</v>
      </c>
      <c r="O77" s="15">
        <f>SUM(B77:M77)</f>
        <v>344889.90535000002</v>
      </c>
      <c r="P77" s="23">
        <f t="shared" ref="P77" si="28">(P67)+(P74)</f>
        <v>21007.980000000189</v>
      </c>
    </row>
    <row r="78" spans="1:16" x14ac:dyDescent="0.3">
      <c r="A78" s="5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P78" s="7"/>
    </row>
  </sheetData>
  <mergeCells count="4">
    <mergeCell ref="A1:N1"/>
    <mergeCell ref="A2:N2"/>
    <mergeCell ref="A3:N3"/>
    <mergeCell ref="B4:D4"/>
  </mergeCells>
  <printOptions horizontalCentered="1" gridLines="1"/>
  <pageMargins left="0.2" right="0.2" top="0.75" bottom="0.75" header="0.3" footer="0.3"/>
  <pageSetup scale="72" fitToHeight="0" orientation="landscape" horizontalDpi="360" verticalDpi="360" r:id="rId1"/>
  <headerFooter>
    <oddHeader xml:space="preserve">&amp;L&amp;"-,Bold"&amp;12 4/23/23&amp;"-,Regular"&amp;11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38"/>
  <sheetViews>
    <sheetView tabSelected="1" topLeftCell="A4" zoomScale="90" zoomScaleNormal="90" workbookViewId="0">
      <pane ySplit="5" topLeftCell="A114" activePane="bottomLeft" state="frozen"/>
      <selection activeCell="A4" sqref="A4"/>
      <selection pane="bottomLeft" activeCell="A129" sqref="A129"/>
    </sheetView>
  </sheetViews>
  <sheetFormatPr defaultColWidth="8.88671875" defaultRowHeight="14.4" x14ac:dyDescent="0.3"/>
  <cols>
    <col min="1" max="1" width="42.44140625" customWidth="1"/>
    <col min="2" max="2" width="23.88671875" customWidth="1"/>
    <col min="3" max="3" width="15.6640625" customWidth="1"/>
    <col min="4" max="5" width="12" customWidth="1"/>
    <col min="6" max="6" width="20.33203125" customWidth="1"/>
    <col min="7" max="7" width="16.33203125" customWidth="1"/>
    <col min="8" max="8" width="17.5546875" customWidth="1"/>
    <col min="9" max="9" width="17.109375" customWidth="1"/>
    <col min="10" max="10" width="14.6640625" customWidth="1"/>
    <col min="11" max="11" width="12.33203125" customWidth="1"/>
    <col min="12" max="12" width="12" customWidth="1"/>
    <col min="13" max="13" width="12.109375" customWidth="1"/>
    <col min="14" max="14" width="19.33203125" customWidth="1"/>
    <col min="15" max="16" width="15.5546875" customWidth="1"/>
    <col min="17" max="18" width="12" customWidth="1"/>
    <col min="19" max="19" width="21.44140625" customWidth="1"/>
    <col min="20" max="20" width="15.6640625" customWidth="1"/>
    <col min="21" max="21" width="12" customWidth="1"/>
  </cols>
  <sheetData>
    <row r="1" spans="1:19" ht="17.399999999999999" hidden="1" x14ac:dyDescent="0.3">
      <c r="A1" s="173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19" ht="17.399999999999999" hidden="1" x14ac:dyDescent="0.3">
      <c r="A2" s="173" t="s">
        <v>75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</row>
    <row r="3" spans="1:19" hidden="1" x14ac:dyDescent="0.3">
      <c r="A3" s="175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</row>
    <row r="4" spans="1:19" ht="17.399999999999999" x14ac:dyDescent="0.3">
      <c r="A4" s="177" t="s">
        <v>0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27"/>
      <c r="P4" s="27"/>
      <c r="Q4" s="27"/>
      <c r="R4" s="27"/>
      <c r="S4" s="27"/>
    </row>
    <row r="5" spans="1:19" ht="17.399999999999999" x14ac:dyDescent="0.3">
      <c r="A5" s="177" t="s">
        <v>124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27"/>
      <c r="P5" s="27"/>
      <c r="Q5" s="27"/>
      <c r="R5" s="27"/>
      <c r="S5" s="27"/>
    </row>
    <row r="6" spans="1:19" ht="17.399999999999999" x14ac:dyDescent="0.3">
      <c r="A6" s="28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17.399999999999999" x14ac:dyDescent="0.3">
      <c r="A7" s="28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</row>
    <row r="8" spans="1:19" x14ac:dyDescent="0.3">
      <c r="A8" s="38"/>
      <c r="B8" s="39">
        <v>45292</v>
      </c>
      <c r="C8" s="40">
        <v>45323</v>
      </c>
      <c r="D8" s="40">
        <v>45352</v>
      </c>
      <c r="E8" s="40">
        <v>45383</v>
      </c>
      <c r="F8" s="40">
        <v>45413</v>
      </c>
      <c r="G8" s="40">
        <v>45444</v>
      </c>
      <c r="H8" s="40">
        <v>45474</v>
      </c>
      <c r="I8" s="40">
        <v>45505</v>
      </c>
      <c r="J8" s="40">
        <v>45536</v>
      </c>
      <c r="K8" s="40">
        <v>45566</v>
      </c>
      <c r="L8" s="40">
        <v>45597</v>
      </c>
      <c r="M8" s="40">
        <v>45627</v>
      </c>
      <c r="N8" s="41" t="s">
        <v>76</v>
      </c>
      <c r="O8" s="27"/>
      <c r="P8" s="29" t="s">
        <v>77</v>
      </c>
      <c r="Q8" s="27"/>
      <c r="R8" s="67"/>
      <c r="S8" s="67"/>
    </row>
    <row r="9" spans="1:19" x14ac:dyDescent="0.3">
      <c r="A9" s="150" t="s">
        <v>5</v>
      </c>
      <c r="B9" s="151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P9" s="153"/>
    </row>
    <row r="10" spans="1:19" x14ac:dyDescent="0.3">
      <c r="A10" s="150" t="s">
        <v>78</v>
      </c>
      <c r="B10" s="154">
        <v>55678.400000000001</v>
      </c>
      <c r="C10" s="155">
        <v>15000</v>
      </c>
      <c r="D10" s="155">
        <v>10000</v>
      </c>
      <c r="E10" s="155">
        <v>25000</v>
      </c>
      <c r="F10" s="155">
        <v>25000</v>
      </c>
      <c r="G10" s="155">
        <v>20000</v>
      </c>
      <c r="H10" s="155">
        <v>20000</v>
      </c>
      <c r="I10" s="155">
        <v>15000</v>
      </c>
      <c r="J10" s="155">
        <v>15000</v>
      </c>
      <c r="K10" s="155">
        <v>10000</v>
      </c>
      <c r="L10" s="155">
        <v>29485</v>
      </c>
      <c r="M10" s="155">
        <v>60000</v>
      </c>
      <c r="N10" s="155">
        <f>SUM(B10:M10)</f>
        <v>300163.40000000002</v>
      </c>
      <c r="P10" s="153">
        <v>925905.29</v>
      </c>
    </row>
    <row r="11" spans="1:19" x14ac:dyDescent="0.3">
      <c r="A11" s="150" t="s">
        <v>79</v>
      </c>
      <c r="B11" s="154">
        <v>199.74</v>
      </c>
      <c r="C11" s="155">
        <v>492.5</v>
      </c>
      <c r="D11" s="155">
        <v>492.5</v>
      </c>
      <c r="E11" s="155">
        <v>492.5</v>
      </c>
      <c r="F11" s="155">
        <v>492.5</v>
      </c>
      <c r="G11" s="155">
        <v>492.5</v>
      </c>
      <c r="H11" s="155">
        <v>492.5</v>
      </c>
      <c r="I11" s="155">
        <v>492.5</v>
      </c>
      <c r="J11" s="155">
        <v>492.5</v>
      </c>
      <c r="K11" s="155">
        <v>492.5</v>
      </c>
      <c r="L11" s="155">
        <v>492.5</v>
      </c>
      <c r="M11" s="155">
        <v>4875</v>
      </c>
      <c r="N11" s="155">
        <f>SUM(B11:M11)</f>
        <v>9999.74</v>
      </c>
      <c r="P11" s="153">
        <v>7045.92</v>
      </c>
    </row>
    <row r="12" spans="1:19" x14ac:dyDescent="0.3">
      <c r="A12" s="150" t="s">
        <v>80</v>
      </c>
      <c r="B12" s="154">
        <v>5753.83</v>
      </c>
      <c r="C12" s="152">
        <v>8824.4599999999991</v>
      </c>
      <c r="D12" s="152">
        <v>8824.4599999999991</v>
      </c>
      <c r="E12" s="152">
        <v>8824.4599999999991</v>
      </c>
      <c r="F12" s="152">
        <v>8824.4599999999991</v>
      </c>
      <c r="G12" s="152">
        <v>8824.4599999999991</v>
      </c>
      <c r="H12" s="152">
        <v>8824.4599999999991</v>
      </c>
      <c r="I12" s="152">
        <v>8824.4599999999991</v>
      </c>
      <c r="J12" s="152">
        <v>13826</v>
      </c>
      <c r="K12" s="152">
        <v>8824.4599999999991</v>
      </c>
      <c r="L12" s="152">
        <v>8824.4599999999991</v>
      </c>
      <c r="M12" s="152">
        <v>11000</v>
      </c>
      <c r="N12" s="155">
        <f>SUM(B12:M12)</f>
        <v>109999.96999999997</v>
      </c>
      <c r="P12" s="153">
        <v>87036.53</v>
      </c>
    </row>
    <row r="13" spans="1:19" x14ac:dyDescent="0.3">
      <c r="A13" s="150" t="s">
        <v>81</v>
      </c>
      <c r="B13" s="154">
        <v>50</v>
      </c>
      <c r="C13" s="155">
        <v>5000</v>
      </c>
      <c r="D13" s="155"/>
      <c r="E13" s="155">
        <v>10000</v>
      </c>
      <c r="F13" s="155">
        <v>5000</v>
      </c>
      <c r="G13" s="155"/>
      <c r="H13" s="155">
        <v>2450</v>
      </c>
      <c r="I13" s="155">
        <v>2500</v>
      </c>
      <c r="J13" s="155"/>
      <c r="K13" s="155"/>
      <c r="L13" s="155">
        <v>2500</v>
      </c>
      <c r="M13" s="155">
        <v>2500</v>
      </c>
      <c r="N13" s="155">
        <f>SUM(B13:M13)</f>
        <v>30000</v>
      </c>
      <c r="P13" s="153">
        <v>15616.95</v>
      </c>
    </row>
    <row r="14" spans="1:19" x14ac:dyDescent="0.3">
      <c r="A14" s="150" t="s">
        <v>82</v>
      </c>
      <c r="B14" s="151">
        <v>125.26</v>
      </c>
      <c r="C14" s="155">
        <v>5000</v>
      </c>
      <c r="D14" s="155"/>
      <c r="E14" s="155">
        <v>0</v>
      </c>
      <c r="F14" s="155">
        <v>10000</v>
      </c>
      <c r="G14" s="155">
        <v>0</v>
      </c>
      <c r="H14" s="155">
        <v>5000</v>
      </c>
      <c r="I14" s="155">
        <v>0</v>
      </c>
      <c r="J14" s="155">
        <v>5000</v>
      </c>
      <c r="K14" s="155">
        <v>20000</v>
      </c>
      <c r="L14" s="155">
        <v>2375</v>
      </c>
      <c r="M14" s="155">
        <v>12500</v>
      </c>
      <c r="N14" s="156">
        <f>SUM(B14:M14)</f>
        <v>60000.26</v>
      </c>
      <c r="P14" s="157">
        <v>49032.74</v>
      </c>
    </row>
    <row r="15" spans="1:19" ht="16.2" x14ac:dyDescent="0.45">
      <c r="A15" s="150" t="s">
        <v>121</v>
      </c>
      <c r="B15" s="151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8"/>
      <c r="P15" s="160">
        <v>4800</v>
      </c>
    </row>
    <row r="16" spans="1:19" x14ac:dyDescent="0.3">
      <c r="A16" s="150" t="s">
        <v>83</v>
      </c>
      <c r="B16" s="161">
        <f t="shared" ref="B16:M16" si="0">((((((B10)+(B11))+(B12))+(B13))+(B14)+B15))</f>
        <v>61807.23</v>
      </c>
      <c r="C16" s="162">
        <f t="shared" si="0"/>
        <v>34316.959999999999</v>
      </c>
      <c r="D16" s="162">
        <f t="shared" si="0"/>
        <v>19316.96</v>
      </c>
      <c r="E16" s="162">
        <f t="shared" si="0"/>
        <v>44316.959999999999</v>
      </c>
      <c r="F16" s="162">
        <f t="shared" si="0"/>
        <v>49316.959999999999</v>
      </c>
      <c r="G16" s="162">
        <f t="shared" si="0"/>
        <v>29316.959999999999</v>
      </c>
      <c r="H16" s="162">
        <f t="shared" si="0"/>
        <v>36766.959999999999</v>
      </c>
      <c r="I16" s="162">
        <f t="shared" si="0"/>
        <v>26816.959999999999</v>
      </c>
      <c r="J16" s="162">
        <f t="shared" si="0"/>
        <v>34318.5</v>
      </c>
      <c r="K16" s="162">
        <f t="shared" si="0"/>
        <v>39316.959999999999</v>
      </c>
      <c r="L16" s="162">
        <f t="shared" si="0"/>
        <v>43676.959999999999</v>
      </c>
      <c r="M16" s="162">
        <f t="shared" si="0"/>
        <v>90875</v>
      </c>
      <c r="N16" s="163">
        <f>SUM(B16:M16)</f>
        <v>510163.37000000005</v>
      </c>
      <c r="P16" s="164">
        <f>SUM(P10:P15)</f>
        <v>1089437.4300000002</v>
      </c>
    </row>
    <row r="17" spans="1:20" x14ac:dyDescent="0.3">
      <c r="A17" s="150" t="s">
        <v>123</v>
      </c>
      <c r="B17" s="165">
        <v>5000</v>
      </c>
      <c r="C17" s="166"/>
      <c r="D17" s="166"/>
      <c r="E17" s="166"/>
      <c r="F17" s="166"/>
      <c r="G17" s="167">
        <v>2500</v>
      </c>
      <c r="H17" s="167"/>
      <c r="I17" s="167"/>
      <c r="J17" s="167"/>
      <c r="K17" s="167"/>
      <c r="L17" s="167"/>
      <c r="M17" s="167">
        <v>2500</v>
      </c>
      <c r="N17" s="155">
        <f>SUM(B17:M17)</f>
        <v>10000</v>
      </c>
      <c r="P17" s="153">
        <v>8000</v>
      </c>
    </row>
    <row r="18" spans="1:20" x14ac:dyDescent="0.3">
      <c r="A18" s="150" t="s">
        <v>84</v>
      </c>
      <c r="B18" s="165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6"/>
      <c r="P18" s="153">
        <v>42693.5</v>
      </c>
    </row>
    <row r="19" spans="1:20" x14ac:dyDescent="0.3">
      <c r="A19" s="150" t="s">
        <v>85</v>
      </c>
      <c r="B19" s="165">
        <v>18200</v>
      </c>
      <c r="C19" s="167">
        <v>12500</v>
      </c>
      <c r="D19" s="167"/>
      <c r="E19" s="167"/>
      <c r="F19" s="167"/>
      <c r="G19" s="167"/>
      <c r="H19" s="167"/>
      <c r="I19" s="167"/>
      <c r="J19" s="167"/>
      <c r="K19" s="167">
        <v>10000</v>
      </c>
      <c r="L19" s="167"/>
      <c r="M19" s="167">
        <v>75000</v>
      </c>
      <c r="N19" s="155">
        <f>SUM(B19:M19)</f>
        <v>115700</v>
      </c>
      <c r="P19" s="153">
        <v>36400</v>
      </c>
    </row>
    <row r="20" spans="1:20" x14ac:dyDescent="0.3">
      <c r="A20" s="150" t="s">
        <v>86</v>
      </c>
      <c r="B20" s="165">
        <v>0</v>
      </c>
      <c r="C20" s="167">
        <v>1500</v>
      </c>
      <c r="D20" s="167"/>
      <c r="E20" s="167">
        <v>45500</v>
      </c>
      <c r="F20" s="167"/>
      <c r="G20" s="167">
        <v>37500</v>
      </c>
      <c r="H20" s="167"/>
      <c r="I20" s="167"/>
      <c r="J20" s="167">
        <v>37500</v>
      </c>
      <c r="K20" s="167"/>
      <c r="L20" s="167">
        <v>45000</v>
      </c>
      <c r="M20" s="167">
        <v>105000</v>
      </c>
      <c r="N20" s="155">
        <f>SUM(B20:M20)</f>
        <v>272000</v>
      </c>
      <c r="P20" s="153">
        <v>69500</v>
      </c>
    </row>
    <row r="21" spans="1:20" x14ac:dyDescent="0.3">
      <c r="A21" s="150" t="s">
        <v>87</v>
      </c>
      <c r="B21" s="165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55">
        <f>SUM(B21:M21)</f>
        <v>0</v>
      </c>
      <c r="P21" s="153">
        <v>7500</v>
      </c>
    </row>
    <row r="22" spans="1:20" ht="16.2" x14ac:dyDescent="0.45">
      <c r="A22" s="150" t="s">
        <v>88</v>
      </c>
      <c r="B22" s="168"/>
      <c r="C22" s="169"/>
      <c r="D22" s="169"/>
      <c r="E22" s="169"/>
      <c r="F22" s="169"/>
      <c r="G22" s="169"/>
      <c r="H22" s="169"/>
      <c r="I22" s="169">
        <v>37500</v>
      </c>
      <c r="J22" s="169">
        <v>25000</v>
      </c>
      <c r="K22" s="169">
        <v>5000</v>
      </c>
      <c r="L22" s="169">
        <v>5000</v>
      </c>
      <c r="M22" s="170">
        <v>12500</v>
      </c>
      <c r="N22" s="171">
        <f>SUM(B22:M22)</f>
        <v>85000</v>
      </c>
      <c r="P22" s="159">
        <v>26000</v>
      </c>
    </row>
    <row r="23" spans="1:20" x14ac:dyDescent="0.3">
      <c r="A23" s="30" t="s">
        <v>116</v>
      </c>
      <c r="B23" s="47">
        <f>SUM(B17:B22)</f>
        <v>23200</v>
      </c>
      <c r="C23" s="47">
        <f t="shared" ref="C23:M23" si="1">SUM(C17:C22)</f>
        <v>14000</v>
      </c>
      <c r="D23" s="47">
        <f t="shared" si="1"/>
        <v>0</v>
      </c>
      <c r="E23" s="47">
        <f t="shared" si="1"/>
        <v>45500</v>
      </c>
      <c r="F23" s="47">
        <f t="shared" si="1"/>
        <v>0</v>
      </c>
      <c r="G23" s="47">
        <f t="shared" si="1"/>
        <v>40000</v>
      </c>
      <c r="H23" s="47">
        <f t="shared" si="1"/>
        <v>0</v>
      </c>
      <c r="I23" s="47">
        <f t="shared" si="1"/>
        <v>37500</v>
      </c>
      <c r="J23" s="47">
        <f t="shared" si="1"/>
        <v>62500</v>
      </c>
      <c r="K23" s="47">
        <f t="shared" si="1"/>
        <v>15000</v>
      </c>
      <c r="L23" s="47">
        <f t="shared" si="1"/>
        <v>50000</v>
      </c>
      <c r="M23" s="47">
        <f t="shared" si="1"/>
        <v>195000</v>
      </c>
      <c r="N23" s="163">
        <f>SUM(B23:M23)</f>
        <v>482700</v>
      </c>
      <c r="O23" s="27"/>
      <c r="P23" s="142">
        <f>SUM('Total Budget Summary'!P17:P22)</f>
        <v>190093.5</v>
      </c>
      <c r="Q23" s="27"/>
      <c r="R23" s="67"/>
      <c r="S23" s="87"/>
      <c r="T23" s="87"/>
    </row>
    <row r="24" spans="1:20" x14ac:dyDescent="0.3">
      <c r="A24" s="30"/>
      <c r="B24" s="47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52"/>
      <c r="O24" s="27"/>
      <c r="P24" s="27"/>
      <c r="Q24" s="27"/>
      <c r="R24" s="67"/>
      <c r="S24" s="87"/>
      <c r="T24" s="87"/>
    </row>
    <row r="25" spans="1:20" ht="15" x14ac:dyDescent="0.35">
      <c r="A25" s="70" t="s">
        <v>89</v>
      </c>
      <c r="B25" s="48"/>
      <c r="C25" s="79"/>
      <c r="D25" s="79"/>
      <c r="E25" s="79"/>
      <c r="F25" s="79"/>
      <c r="G25" s="79"/>
      <c r="H25" s="79"/>
      <c r="I25" s="79"/>
      <c r="J25" s="78">
        <v>5000</v>
      </c>
      <c r="K25" s="78">
        <v>15000</v>
      </c>
      <c r="L25" s="78">
        <v>5000</v>
      </c>
      <c r="M25" s="79"/>
      <c r="N25" s="42">
        <f t="shared" ref="N25:N26" si="2">SUM(B25:M25)</f>
        <v>25000</v>
      </c>
      <c r="O25" s="27"/>
      <c r="P25" s="27">
        <v>12500</v>
      </c>
      <c r="Q25" s="27"/>
      <c r="R25" s="67"/>
      <c r="S25" s="87"/>
      <c r="T25" s="87"/>
    </row>
    <row r="26" spans="1:20" ht="15" x14ac:dyDescent="0.35">
      <c r="A26" s="70" t="s">
        <v>90</v>
      </c>
      <c r="B26" s="48"/>
      <c r="C26" s="79"/>
      <c r="D26" s="79"/>
      <c r="E26" s="79"/>
      <c r="F26" s="79"/>
      <c r="G26" s="79"/>
      <c r="H26" s="79"/>
      <c r="I26" s="79"/>
      <c r="J26" s="78">
        <v>5000</v>
      </c>
      <c r="K26" s="78">
        <v>20000</v>
      </c>
      <c r="L26" s="78">
        <v>5000</v>
      </c>
      <c r="M26" s="79"/>
      <c r="N26" s="42">
        <f t="shared" si="2"/>
        <v>30000</v>
      </c>
      <c r="O26" s="27"/>
      <c r="P26" s="27">
        <v>19267.95</v>
      </c>
      <c r="Q26" s="27"/>
      <c r="R26" s="67"/>
      <c r="S26" s="87"/>
      <c r="T26" s="87"/>
    </row>
    <row r="27" spans="1:20" ht="15" x14ac:dyDescent="0.35">
      <c r="A27" s="30" t="s">
        <v>91</v>
      </c>
      <c r="B27" s="47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75">
        <f t="shared" ref="N27:N30" si="3">SUM(B27:M27)</f>
        <v>0</v>
      </c>
      <c r="O27" s="27"/>
      <c r="P27" s="27">
        <v>12500</v>
      </c>
      <c r="Q27" s="27"/>
      <c r="R27" s="67"/>
      <c r="S27" s="87"/>
      <c r="T27" s="87"/>
    </row>
    <row r="28" spans="1:20" x14ac:dyDescent="0.3">
      <c r="A28" s="30" t="s">
        <v>92</v>
      </c>
      <c r="B28" s="77">
        <v>115</v>
      </c>
      <c r="C28" s="78">
        <v>43.75</v>
      </c>
      <c r="D28" s="78">
        <v>43.75</v>
      </c>
      <c r="E28" s="78">
        <v>43.75</v>
      </c>
      <c r="F28" s="78">
        <v>43.75</v>
      </c>
      <c r="G28" s="78">
        <v>43.75</v>
      </c>
      <c r="H28" s="78">
        <v>43.75</v>
      </c>
      <c r="I28" s="78">
        <v>43.75</v>
      </c>
      <c r="J28" s="78">
        <v>43.75</v>
      </c>
      <c r="K28" s="78">
        <v>43.75</v>
      </c>
      <c r="L28" s="78">
        <v>43.75</v>
      </c>
      <c r="M28" s="78">
        <v>43.75</v>
      </c>
      <c r="N28" s="42">
        <f t="shared" si="3"/>
        <v>596.25</v>
      </c>
      <c r="O28" s="27"/>
      <c r="P28" s="27">
        <v>513</v>
      </c>
      <c r="Q28" s="27"/>
      <c r="R28" s="67"/>
      <c r="S28" s="87"/>
      <c r="T28" s="87"/>
    </row>
    <row r="29" spans="1:20" ht="16.2" x14ac:dyDescent="0.45">
      <c r="A29" s="30" t="s">
        <v>93</v>
      </c>
      <c r="B29" s="72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0">
        <f t="shared" si="3"/>
        <v>0</v>
      </c>
      <c r="O29" s="27"/>
      <c r="P29" s="69">
        <v>887.49</v>
      </c>
      <c r="Q29" s="27"/>
      <c r="R29" s="67"/>
      <c r="S29" s="87"/>
      <c r="T29" s="87"/>
    </row>
    <row r="30" spans="1:20" ht="16.2" x14ac:dyDescent="0.45">
      <c r="A30" s="30" t="s">
        <v>94</v>
      </c>
      <c r="B30" s="47">
        <f>(B16)+(B23)+(B25)+(B26)+(B27)+(B28)+(B29)</f>
        <v>85122.23000000001</v>
      </c>
      <c r="C30" s="47">
        <f t="shared" ref="C30:M30" si="4">(C16)+(C23)+(C25)+(C26)+(C27)+(C28)+(C29)</f>
        <v>48360.71</v>
      </c>
      <c r="D30" s="47">
        <f t="shared" si="4"/>
        <v>19360.71</v>
      </c>
      <c r="E30" s="47">
        <f t="shared" si="4"/>
        <v>89860.709999999992</v>
      </c>
      <c r="F30" s="47">
        <f t="shared" si="4"/>
        <v>49360.71</v>
      </c>
      <c r="G30" s="47">
        <f t="shared" si="4"/>
        <v>69360.709999999992</v>
      </c>
      <c r="H30" s="47">
        <f t="shared" si="4"/>
        <v>36810.71</v>
      </c>
      <c r="I30" s="47">
        <f t="shared" si="4"/>
        <v>64360.71</v>
      </c>
      <c r="J30" s="47">
        <f t="shared" si="4"/>
        <v>106862.25</v>
      </c>
      <c r="K30" s="47">
        <f t="shared" si="4"/>
        <v>89360.709999999992</v>
      </c>
      <c r="L30" s="47">
        <f t="shared" si="4"/>
        <v>103720.70999999999</v>
      </c>
      <c r="M30" s="47">
        <f t="shared" si="4"/>
        <v>285918.75</v>
      </c>
      <c r="N30" s="102">
        <f t="shared" si="3"/>
        <v>1048459.62</v>
      </c>
      <c r="O30" s="27"/>
      <c r="P30" s="73">
        <f>SUM('Total Budget Summary'!P16+P23+P25+P26+P27+P28+P29)</f>
        <v>1325199.3700000001</v>
      </c>
      <c r="Q30" s="27"/>
      <c r="R30" s="67"/>
      <c r="S30" s="87"/>
      <c r="T30" s="87"/>
    </row>
    <row r="31" spans="1:20" x14ac:dyDescent="0.3">
      <c r="A31" s="30"/>
      <c r="B31" s="47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27"/>
      <c r="P31" s="27"/>
      <c r="Q31" s="27"/>
      <c r="R31" s="67"/>
      <c r="S31" s="87"/>
      <c r="T31" s="87"/>
    </row>
    <row r="32" spans="1:20" x14ac:dyDescent="0.3">
      <c r="A32" s="30" t="s">
        <v>16</v>
      </c>
      <c r="B32" s="31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97"/>
      <c r="P32" s="27"/>
      <c r="Q32" s="27"/>
      <c r="R32" s="67"/>
      <c r="S32" s="87"/>
      <c r="T32" s="87"/>
    </row>
    <row r="33" spans="1:20" hidden="1" x14ac:dyDescent="0.3">
      <c r="A33" s="30" t="s">
        <v>17</v>
      </c>
      <c r="B33" s="31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97"/>
      <c r="P33" s="27"/>
      <c r="Q33" s="27"/>
      <c r="R33" s="67"/>
      <c r="S33" s="87"/>
      <c r="T33" s="87"/>
    </row>
    <row r="34" spans="1:20" x14ac:dyDescent="0.3">
      <c r="A34" s="30" t="s">
        <v>125</v>
      </c>
      <c r="B34" s="31">
        <v>46581.36</v>
      </c>
      <c r="C34" s="53">
        <v>50342</v>
      </c>
      <c r="D34" s="53">
        <v>58662</v>
      </c>
      <c r="E34" s="53">
        <v>59078</v>
      </c>
      <c r="F34" s="53">
        <v>59287</v>
      </c>
      <c r="G34" s="53">
        <v>59287</v>
      </c>
      <c r="H34" s="53">
        <v>59972</v>
      </c>
      <c r="I34" s="53">
        <v>59972</v>
      </c>
      <c r="J34" s="53">
        <v>60389</v>
      </c>
      <c r="K34" s="53">
        <v>60389</v>
      </c>
      <c r="L34" s="53">
        <v>60389</v>
      </c>
      <c r="M34" s="53">
        <v>60389</v>
      </c>
      <c r="N34" s="53">
        <f>SUM(B34:M34)</f>
        <v>694737.36</v>
      </c>
      <c r="O34" s="98"/>
      <c r="P34" s="27">
        <v>500684.75</v>
      </c>
      <c r="Q34" s="27"/>
      <c r="R34" s="67"/>
      <c r="S34" s="87"/>
      <c r="T34" s="87"/>
    </row>
    <row r="35" spans="1:20" x14ac:dyDescent="0.3">
      <c r="A35" s="30" t="s">
        <v>126</v>
      </c>
      <c r="B35" s="31">
        <v>3679.93</v>
      </c>
      <c r="C35" s="53">
        <f t="shared" ref="C35:M35" si="5">C34*0.0765</f>
        <v>3851.163</v>
      </c>
      <c r="D35" s="53">
        <f t="shared" si="5"/>
        <v>4487.643</v>
      </c>
      <c r="E35" s="53">
        <f t="shared" si="5"/>
        <v>4519.4669999999996</v>
      </c>
      <c r="F35" s="53">
        <f t="shared" si="5"/>
        <v>4535.4555</v>
      </c>
      <c r="G35" s="53">
        <f t="shared" si="5"/>
        <v>4535.4555</v>
      </c>
      <c r="H35" s="53">
        <f t="shared" si="5"/>
        <v>4587.8580000000002</v>
      </c>
      <c r="I35" s="53">
        <f t="shared" si="5"/>
        <v>4587.8580000000002</v>
      </c>
      <c r="J35" s="53">
        <f t="shared" si="5"/>
        <v>4619.7584999999999</v>
      </c>
      <c r="K35" s="53">
        <f t="shared" si="5"/>
        <v>4619.7584999999999</v>
      </c>
      <c r="L35" s="53">
        <f t="shared" si="5"/>
        <v>4619.7584999999999</v>
      </c>
      <c r="M35" s="53">
        <f t="shared" si="5"/>
        <v>4619.7584999999999</v>
      </c>
      <c r="N35" s="53">
        <f t="shared" ref="N35:N41" si="6">SUM(B35:M35)</f>
        <v>53263.863999999987</v>
      </c>
      <c r="O35" s="97"/>
      <c r="P35" s="27">
        <v>107536.93</v>
      </c>
      <c r="Q35" s="27"/>
      <c r="R35" s="67"/>
      <c r="S35" s="87"/>
      <c r="T35" s="87"/>
    </row>
    <row r="36" spans="1:20" x14ac:dyDescent="0.3">
      <c r="A36" s="30" t="s">
        <v>21</v>
      </c>
      <c r="B36" s="31">
        <v>147.72</v>
      </c>
      <c r="C36" s="53">
        <v>160</v>
      </c>
      <c r="D36" s="53">
        <v>160</v>
      </c>
      <c r="E36" s="53">
        <v>160</v>
      </c>
      <c r="F36" s="53">
        <v>310</v>
      </c>
      <c r="G36" s="53">
        <v>310</v>
      </c>
      <c r="H36" s="53">
        <v>310</v>
      </c>
      <c r="I36" s="53">
        <v>310</v>
      </c>
      <c r="J36" s="53">
        <v>460</v>
      </c>
      <c r="K36" s="53">
        <v>460</v>
      </c>
      <c r="L36" s="53">
        <v>460</v>
      </c>
      <c r="M36" s="53">
        <v>460</v>
      </c>
      <c r="N36" s="53">
        <f t="shared" si="6"/>
        <v>3707.7200000000003</v>
      </c>
      <c r="O36" s="27"/>
      <c r="P36" s="53">
        <v>2988</v>
      </c>
      <c r="Q36" s="27"/>
      <c r="R36" s="67"/>
      <c r="S36" s="87"/>
      <c r="T36" s="87"/>
    </row>
    <row r="37" spans="1:20" x14ac:dyDescent="0.3">
      <c r="A37" s="30" t="s">
        <v>95</v>
      </c>
      <c r="B37" s="31">
        <v>9250.9500000000007</v>
      </c>
      <c r="C37" s="53">
        <v>9079.02</v>
      </c>
      <c r="D37" s="53">
        <v>7553.8</v>
      </c>
      <c r="E37" s="53">
        <v>9104</v>
      </c>
      <c r="F37" s="53">
        <v>9104</v>
      </c>
      <c r="G37" s="53">
        <v>9104</v>
      </c>
      <c r="H37" s="53">
        <v>9559.2000000000007</v>
      </c>
      <c r="I37" s="53">
        <v>9559.2000000000007</v>
      </c>
      <c r="J37" s="53">
        <v>9559.2000000000007</v>
      </c>
      <c r="K37" s="53">
        <v>9559.2000000000007</v>
      </c>
      <c r="L37" s="53">
        <v>9559.2000000000007</v>
      </c>
      <c r="M37" s="53">
        <v>9559.2000000000007</v>
      </c>
      <c r="N37" s="53">
        <f t="shared" si="6"/>
        <v>110550.96999999999</v>
      </c>
      <c r="O37" s="27"/>
      <c r="P37" s="27">
        <v>66147.350000000006</v>
      </c>
      <c r="Q37" s="27"/>
      <c r="R37" s="67"/>
      <c r="S37" s="87"/>
      <c r="T37" s="87"/>
    </row>
    <row r="38" spans="1:20" x14ac:dyDescent="0.3">
      <c r="A38" s="30" t="s">
        <v>122</v>
      </c>
      <c r="B38" s="31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/>
      <c r="P38" s="27">
        <v>736.32</v>
      </c>
      <c r="Q38" s="27"/>
      <c r="R38" s="67"/>
      <c r="S38" s="87"/>
      <c r="T38" s="87"/>
    </row>
    <row r="39" spans="1:20" x14ac:dyDescent="0.3">
      <c r="A39" s="30" t="s">
        <v>23</v>
      </c>
      <c r="B39" s="31">
        <v>678</v>
      </c>
      <c r="C39" s="53">
        <v>0</v>
      </c>
      <c r="D39" s="53">
        <v>339</v>
      </c>
      <c r="E39" s="53">
        <v>339</v>
      </c>
      <c r="F39" s="53">
        <v>339</v>
      </c>
      <c r="G39" s="53">
        <v>339</v>
      </c>
      <c r="H39" s="53">
        <v>339</v>
      </c>
      <c r="I39" s="53">
        <v>339</v>
      </c>
      <c r="J39" s="53">
        <v>339</v>
      </c>
      <c r="K39" s="53">
        <v>339</v>
      </c>
      <c r="L39" s="53">
        <v>340</v>
      </c>
      <c r="M39" s="53">
        <v>340</v>
      </c>
      <c r="N39" s="53">
        <f t="shared" si="6"/>
        <v>4070</v>
      </c>
      <c r="O39" s="27"/>
      <c r="P39" s="27">
        <v>5128</v>
      </c>
      <c r="Q39" s="27"/>
      <c r="R39" s="67"/>
      <c r="S39" s="87"/>
      <c r="T39" s="87"/>
    </row>
    <row r="40" spans="1:20" ht="16.2" x14ac:dyDescent="0.45">
      <c r="A40" s="30" t="s">
        <v>24</v>
      </c>
      <c r="B40" s="31">
        <v>704.97</v>
      </c>
      <c r="C40" s="53">
        <v>361</v>
      </c>
      <c r="D40" s="53">
        <v>361</v>
      </c>
      <c r="E40" s="53">
        <v>361</v>
      </c>
      <c r="F40" s="53">
        <v>361</v>
      </c>
      <c r="G40" s="53">
        <v>361</v>
      </c>
      <c r="H40" s="53">
        <v>361</v>
      </c>
      <c r="I40" s="53">
        <v>361</v>
      </c>
      <c r="J40" s="53">
        <v>361</v>
      </c>
      <c r="K40" s="53">
        <v>361</v>
      </c>
      <c r="L40" s="53">
        <v>361</v>
      </c>
      <c r="M40" s="53">
        <v>361</v>
      </c>
      <c r="N40" s="53">
        <f t="shared" si="6"/>
        <v>4675.97</v>
      </c>
      <c r="O40" s="27"/>
      <c r="P40" s="69">
        <v>3242</v>
      </c>
      <c r="Q40" s="27"/>
      <c r="R40" s="67"/>
      <c r="S40" s="87"/>
      <c r="T40" s="87"/>
    </row>
    <row r="41" spans="1:20" x14ac:dyDescent="0.3">
      <c r="A41" s="30" t="s">
        <v>25</v>
      </c>
      <c r="B41" s="123">
        <f t="shared" ref="B41:M41" si="7">SUM(B34:B40)</f>
        <v>61042.930000000008</v>
      </c>
      <c r="C41" s="123">
        <f t="shared" si="7"/>
        <v>63793.183000000005</v>
      </c>
      <c r="D41" s="123">
        <f t="shared" si="7"/>
        <v>71563.442999999999</v>
      </c>
      <c r="E41" s="123">
        <f t="shared" si="7"/>
        <v>73561.467000000004</v>
      </c>
      <c r="F41" s="123">
        <f t="shared" si="7"/>
        <v>73936.455499999996</v>
      </c>
      <c r="G41" s="123">
        <f t="shared" si="7"/>
        <v>73936.455499999996</v>
      </c>
      <c r="H41" s="123">
        <f t="shared" si="7"/>
        <v>75129.058000000005</v>
      </c>
      <c r="I41" s="123">
        <f t="shared" si="7"/>
        <v>75129.058000000005</v>
      </c>
      <c r="J41" s="123">
        <f t="shared" si="7"/>
        <v>75727.958499999993</v>
      </c>
      <c r="K41" s="123">
        <f t="shared" si="7"/>
        <v>75727.958499999993</v>
      </c>
      <c r="L41" s="123">
        <f t="shared" si="7"/>
        <v>75728.958499999993</v>
      </c>
      <c r="M41" s="123">
        <f t="shared" si="7"/>
        <v>75728.958499999993</v>
      </c>
      <c r="N41" s="123">
        <f t="shared" si="6"/>
        <v>871005.88399999985</v>
      </c>
      <c r="O41" s="124"/>
      <c r="P41" s="116">
        <f>SUM(P34:P40)</f>
        <v>686463.34999999986</v>
      </c>
      <c r="Q41" s="27"/>
      <c r="R41" s="67"/>
      <c r="S41" s="87"/>
      <c r="T41" s="87"/>
    </row>
    <row r="42" spans="1:20" x14ac:dyDescent="0.3">
      <c r="A42" s="30"/>
      <c r="B42" s="31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27"/>
      <c r="P42" s="27"/>
      <c r="Q42" s="27"/>
      <c r="R42" s="67"/>
      <c r="S42" s="87"/>
      <c r="T42" s="87"/>
    </row>
    <row r="43" spans="1:20" ht="15" x14ac:dyDescent="0.35">
      <c r="A43" s="30" t="s">
        <v>26</v>
      </c>
      <c r="B43" s="31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132"/>
      <c r="O43" s="27"/>
      <c r="P43" s="27"/>
      <c r="Q43" s="27"/>
      <c r="R43" s="67"/>
      <c r="S43" s="87"/>
      <c r="T43" s="87"/>
    </row>
    <row r="44" spans="1:20" x14ac:dyDescent="0.3">
      <c r="A44" s="30" t="s">
        <v>114</v>
      </c>
      <c r="B44" s="31">
        <v>279.33999999999997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112">
        <f t="shared" ref="N44:N45" si="8">SUM(B44:M44)</f>
        <v>279.33999999999997</v>
      </c>
      <c r="O44" s="27"/>
      <c r="P44" s="27">
        <v>2910.21</v>
      </c>
      <c r="Q44" s="27"/>
      <c r="R44" s="67"/>
      <c r="S44" s="87"/>
      <c r="T44" s="87"/>
    </row>
    <row r="45" spans="1:20" x14ac:dyDescent="0.3">
      <c r="A45" s="30" t="s">
        <v>27</v>
      </c>
      <c r="B45" s="33"/>
      <c r="C45" s="53"/>
      <c r="D45" s="54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112">
        <f t="shared" si="8"/>
        <v>0</v>
      </c>
      <c r="O45" s="27"/>
      <c r="P45" s="27"/>
      <c r="Q45" s="27"/>
      <c r="R45" s="67"/>
      <c r="S45" s="67"/>
      <c r="T45" s="88"/>
    </row>
    <row r="46" spans="1:20" x14ac:dyDescent="0.3">
      <c r="A46" s="30" t="s">
        <v>96</v>
      </c>
      <c r="B46" s="33">
        <v>609</v>
      </c>
      <c r="C46" s="53">
        <v>100</v>
      </c>
      <c r="D46" s="53">
        <v>100</v>
      </c>
      <c r="E46" s="53">
        <v>100</v>
      </c>
      <c r="F46" s="53">
        <v>100</v>
      </c>
      <c r="G46" s="53">
        <v>100</v>
      </c>
      <c r="H46" s="53">
        <v>100</v>
      </c>
      <c r="I46" s="53">
        <v>100</v>
      </c>
      <c r="J46" s="53">
        <v>100</v>
      </c>
      <c r="K46" s="53">
        <v>100</v>
      </c>
      <c r="L46" s="53">
        <v>600</v>
      </c>
      <c r="M46" s="53">
        <v>100</v>
      </c>
      <c r="N46" s="55">
        <f t="shared" ref="N46:N102" si="9">SUM(B46:M46)</f>
        <v>2209</v>
      </c>
      <c r="O46" s="27"/>
      <c r="P46" s="27">
        <v>509</v>
      </c>
      <c r="Q46" s="27"/>
      <c r="R46" s="67"/>
      <c r="S46" s="67"/>
      <c r="T46" s="88"/>
    </row>
    <row r="47" spans="1:20" x14ac:dyDescent="0.3">
      <c r="A47" s="45" t="s">
        <v>29</v>
      </c>
      <c r="B47" s="33">
        <v>1616.03</v>
      </c>
      <c r="C47" s="54">
        <v>645.17999999999995</v>
      </c>
      <c r="D47" s="54">
        <v>239.18</v>
      </c>
      <c r="E47" s="54">
        <v>933.92</v>
      </c>
      <c r="F47" s="54">
        <v>720.18</v>
      </c>
      <c r="G47" s="54">
        <v>2135.1799999999998</v>
      </c>
      <c r="H47" s="54">
        <v>1364.18</v>
      </c>
      <c r="I47" s="54">
        <v>1377.18</v>
      </c>
      <c r="J47" s="54">
        <v>429.18</v>
      </c>
      <c r="K47" s="54">
        <v>3857.18</v>
      </c>
      <c r="L47" s="54">
        <v>1813.18</v>
      </c>
      <c r="M47" s="54">
        <v>1644.18</v>
      </c>
      <c r="N47" s="55">
        <f t="shared" si="9"/>
        <v>16774.75</v>
      </c>
      <c r="O47" s="27"/>
      <c r="P47" s="27">
        <v>18552.93</v>
      </c>
      <c r="Q47" s="27"/>
      <c r="R47" s="67"/>
      <c r="S47" s="67"/>
      <c r="T47" s="67"/>
    </row>
    <row r="48" spans="1:20" x14ac:dyDescent="0.3">
      <c r="A48" s="30" t="s">
        <v>30</v>
      </c>
      <c r="B48" s="33">
        <v>660.75</v>
      </c>
      <c r="C48" s="54">
        <v>2092</v>
      </c>
      <c r="D48" s="54">
        <v>2147</v>
      </c>
      <c r="E48" s="54">
        <v>6194</v>
      </c>
      <c r="F48" s="54">
        <v>651</v>
      </c>
      <c r="G48" s="54">
        <v>660.51</v>
      </c>
      <c r="H48" s="54">
        <v>1063.8800000000001</v>
      </c>
      <c r="I48" s="54">
        <v>2399.9499999999998</v>
      </c>
      <c r="J48" s="54">
        <v>461.1</v>
      </c>
      <c r="K48" s="54">
        <v>405</v>
      </c>
      <c r="L48" s="54">
        <v>137</v>
      </c>
      <c r="M48" s="54">
        <v>385.98</v>
      </c>
      <c r="N48" s="55">
        <f t="shared" si="9"/>
        <v>17258.170000000002</v>
      </c>
      <c r="O48" s="26"/>
      <c r="P48" s="27">
        <v>6498</v>
      </c>
      <c r="Q48" s="26"/>
      <c r="R48" s="51"/>
      <c r="S48" s="67"/>
      <c r="T48" s="67"/>
    </row>
    <row r="49" spans="1:20" x14ac:dyDescent="0.3">
      <c r="A49" s="30" t="s">
        <v>31</v>
      </c>
      <c r="B49" s="31">
        <v>1678.86</v>
      </c>
      <c r="C49" s="53">
        <v>473</v>
      </c>
      <c r="D49" s="53">
        <v>470</v>
      </c>
      <c r="E49" s="53">
        <v>470</v>
      </c>
      <c r="F49" s="53">
        <v>470</v>
      </c>
      <c r="G49" s="53">
        <v>470</v>
      </c>
      <c r="H49" s="53"/>
      <c r="I49" s="53"/>
      <c r="J49" s="53"/>
      <c r="K49" s="53"/>
      <c r="L49" s="53"/>
      <c r="M49" s="53"/>
      <c r="N49" s="55">
        <f t="shared" si="9"/>
        <v>4031.8599999999997</v>
      </c>
      <c r="O49" s="26"/>
      <c r="P49" s="27">
        <v>3202</v>
      </c>
      <c r="Q49" s="26"/>
      <c r="R49" s="51"/>
      <c r="S49" s="67"/>
      <c r="T49" s="67"/>
    </row>
    <row r="50" spans="1:20" x14ac:dyDescent="0.3">
      <c r="A50" s="30" t="s">
        <v>32</v>
      </c>
      <c r="B50" s="31">
        <v>395</v>
      </c>
      <c r="C50" s="53">
        <v>73</v>
      </c>
      <c r="D50" s="53">
        <v>73</v>
      </c>
      <c r="E50" s="53">
        <v>73</v>
      </c>
      <c r="F50" s="53">
        <v>73</v>
      </c>
      <c r="G50" s="53">
        <v>73</v>
      </c>
      <c r="H50" s="53">
        <v>73</v>
      </c>
      <c r="I50" s="53">
        <v>73</v>
      </c>
      <c r="J50" s="53">
        <v>73</v>
      </c>
      <c r="K50" s="53">
        <v>73</v>
      </c>
      <c r="L50" s="53">
        <v>74</v>
      </c>
      <c r="M50" s="53">
        <v>74</v>
      </c>
      <c r="N50" s="55">
        <f>SUM(B50:M50)</f>
        <v>1200</v>
      </c>
      <c r="O50" s="26"/>
      <c r="P50" s="27">
        <v>1120</v>
      </c>
      <c r="Q50" s="26"/>
      <c r="R50" s="51"/>
      <c r="S50" s="67"/>
      <c r="T50" s="67"/>
    </row>
    <row r="51" spans="1:20" ht="16.2" x14ac:dyDescent="0.45">
      <c r="A51" s="30" t="s">
        <v>97</v>
      </c>
      <c r="B51" s="129">
        <v>-1880.01</v>
      </c>
      <c r="C51" s="63"/>
      <c r="D51" s="63"/>
      <c r="E51" s="63"/>
      <c r="F51" s="63"/>
      <c r="G51" s="56">
        <v>6250</v>
      </c>
      <c r="H51" s="56">
        <v>6250</v>
      </c>
      <c r="I51" s="56">
        <v>6250</v>
      </c>
      <c r="J51" s="56">
        <v>6250</v>
      </c>
      <c r="K51" s="63"/>
      <c r="L51" s="63"/>
      <c r="M51" s="61"/>
      <c r="N51" s="57">
        <f t="shared" si="9"/>
        <v>23119.989999999998</v>
      </c>
      <c r="O51" s="26"/>
      <c r="P51" s="69">
        <v>14440</v>
      </c>
      <c r="Q51" s="26"/>
      <c r="R51" s="51"/>
      <c r="S51" s="67"/>
      <c r="T51" s="67"/>
    </row>
    <row r="52" spans="1:20" x14ac:dyDescent="0.3">
      <c r="A52" s="30" t="s">
        <v>98</v>
      </c>
      <c r="B52" s="130">
        <f>SUM(B44:B51)</f>
        <v>3358.9699999999993</v>
      </c>
      <c r="C52" s="104">
        <f t="shared" ref="C52:M52" si="10">SUM(C46:C51)</f>
        <v>3383.18</v>
      </c>
      <c r="D52" s="104">
        <f t="shared" si="10"/>
        <v>3029.18</v>
      </c>
      <c r="E52" s="104">
        <f t="shared" si="10"/>
        <v>7770.92</v>
      </c>
      <c r="F52" s="104">
        <f t="shared" si="10"/>
        <v>2014.1799999999998</v>
      </c>
      <c r="G52" s="104">
        <f t="shared" si="10"/>
        <v>9688.6899999999987</v>
      </c>
      <c r="H52" s="104">
        <f t="shared" si="10"/>
        <v>8851.0600000000013</v>
      </c>
      <c r="I52" s="104">
        <f t="shared" si="10"/>
        <v>10200.130000000001</v>
      </c>
      <c r="J52" s="104">
        <f t="shared" si="10"/>
        <v>7313.2800000000007</v>
      </c>
      <c r="K52" s="104">
        <f t="shared" si="10"/>
        <v>4435.18</v>
      </c>
      <c r="L52" s="104">
        <f t="shared" si="10"/>
        <v>2624.1800000000003</v>
      </c>
      <c r="M52" s="104">
        <f t="shared" si="10"/>
        <v>2204.16</v>
      </c>
      <c r="N52" s="139">
        <f t="shared" si="9"/>
        <v>64873.11</v>
      </c>
      <c r="O52" s="26"/>
      <c r="P52" s="107">
        <f>SUM(P44:P51)</f>
        <v>47232.14</v>
      </c>
      <c r="Q52" s="26"/>
      <c r="R52" s="51"/>
      <c r="S52" s="67"/>
      <c r="T52" s="67"/>
    </row>
    <row r="53" spans="1:20" x14ac:dyDescent="0.3">
      <c r="A53" s="30"/>
      <c r="B53" s="104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6"/>
      <c r="O53" s="26"/>
      <c r="P53" s="27"/>
      <c r="Q53" s="26"/>
      <c r="R53" s="51"/>
      <c r="S53" s="67"/>
      <c r="T53" s="67"/>
    </row>
    <row r="54" spans="1:20" x14ac:dyDescent="0.3">
      <c r="A54" s="30" t="s">
        <v>33</v>
      </c>
      <c r="B54" s="31">
        <v>2682.91</v>
      </c>
      <c r="C54" s="53"/>
      <c r="D54" s="54"/>
      <c r="E54" s="54">
        <v>2023.65</v>
      </c>
      <c r="F54" s="54"/>
      <c r="G54" s="54">
        <v>0</v>
      </c>
      <c r="H54" s="54">
        <v>3035.47</v>
      </c>
      <c r="I54" s="54">
        <v>0</v>
      </c>
      <c r="J54" s="54">
        <v>3035.47</v>
      </c>
      <c r="K54" s="54"/>
      <c r="L54" s="54">
        <v>0</v>
      </c>
      <c r="M54" s="54">
        <v>3035.47</v>
      </c>
      <c r="N54" s="55">
        <f t="shared" si="9"/>
        <v>13812.969999999998</v>
      </c>
      <c r="O54" s="26"/>
      <c r="P54" s="27">
        <v>9741</v>
      </c>
      <c r="Q54" s="26"/>
      <c r="R54" s="51"/>
      <c r="S54" s="67"/>
      <c r="T54" s="67"/>
    </row>
    <row r="55" spans="1:20" x14ac:dyDescent="0.3">
      <c r="A55" s="30" t="s">
        <v>35</v>
      </c>
      <c r="B55" s="31"/>
      <c r="C55" s="54">
        <v>0</v>
      </c>
      <c r="D55" s="53">
        <v>250</v>
      </c>
      <c r="E55" s="53"/>
      <c r="F55" s="53"/>
      <c r="G55" s="53">
        <v>250</v>
      </c>
      <c r="H55" s="53"/>
      <c r="I55" s="53"/>
      <c r="J55" s="53">
        <v>250</v>
      </c>
      <c r="K55" s="53"/>
      <c r="L55" s="53"/>
      <c r="M55" s="53">
        <v>250</v>
      </c>
      <c r="N55" s="55">
        <f t="shared" si="9"/>
        <v>1000</v>
      </c>
      <c r="O55" s="26"/>
      <c r="P55" s="27">
        <v>0</v>
      </c>
      <c r="Q55" s="26"/>
      <c r="R55" s="51"/>
      <c r="S55" s="67"/>
      <c r="T55" s="67"/>
    </row>
    <row r="56" spans="1:20" x14ac:dyDescent="0.3">
      <c r="A56" s="30" t="s">
        <v>36</v>
      </c>
      <c r="B56" s="33">
        <v>1991.27</v>
      </c>
      <c r="C56" s="54">
        <v>1624</v>
      </c>
      <c r="D56" s="54">
        <v>1624</v>
      </c>
      <c r="E56" s="54">
        <v>1624</v>
      </c>
      <c r="F56" s="54">
        <v>1624</v>
      </c>
      <c r="G56" s="54">
        <v>1624</v>
      </c>
      <c r="H56" s="54">
        <v>1624</v>
      </c>
      <c r="I56" s="54">
        <v>1624</v>
      </c>
      <c r="J56" s="54">
        <v>1624</v>
      </c>
      <c r="K56" s="54">
        <v>1624</v>
      </c>
      <c r="L56" s="54">
        <v>1624</v>
      </c>
      <c r="M56" s="54">
        <v>1624</v>
      </c>
      <c r="N56" s="55">
        <f t="shared" si="9"/>
        <v>19855.27</v>
      </c>
      <c r="O56" s="26"/>
      <c r="P56" s="27">
        <v>18791</v>
      </c>
      <c r="Q56" s="26"/>
      <c r="R56" s="51"/>
      <c r="S56" s="89"/>
      <c r="T56" s="67"/>
    </row>
    <row r="57" spans="1:20" x14ac:dyDescent="0.3">
      <c r="A57" s="30" t="s">
        <v>37</v>
      </c>
      <c r="B57" s="33">
        <v>537.92999999999995</v>
      </c>
      <c r="C57" s="54">
        <v>228.28</v>
      </c>
      <c r="D57" s="54">
        <v>228.28</v>
      </c>
      <c r="E57" s="54">
        <v>228.28</v>
      </c>
      <c r="F57" s="54">
        <v>228.28</v>
      </c>
      <c r="G57" s="54">
        <v>228.28</v>
      </c>
      <c r="H57" s="54">
        <v>228.28</v>
      </c>
      <c r="I57" s="54">
        <v>228.28</v>
      </c>
      <c r="J57" s="54">
        <v>228.28</v>
      </c>
      <c r="K57" s="54">
        <v>228.28</v>
      </c>
      <c r="L57" s="54">
        <v>228.28</v>
      </c>
      <c r="M57" s="54">
        <v>228.28</v>
      </c>
      <c r="N57" s="55">
        <f t="shared" si="9"/>
        <v>3049.0100000000007</v>
      </c>
      <c r="O57" s="26"/>
      <c r="P57" s="27">
        <v>2946</v>
      </c>
      <c r="Q57" s="26"/>
      <c r="R57" s="51"/>
      <c r="S57" s="67"/>
      <c r="T57" s="67"/>
    </row>
    <row r="58" spans="1:20" ht="16.2" x14ac:dyDescent="0.45">
      <c r="A58" s="30" t="s">
        <v>38</v>
      </c>
      <c r="B58" s="103">
        <v>766.05</v>
      </c>
      <c r="C58" s="62">
        <v>578.17999999999995</v>
      </c>
      <c r="D58" s="62">
        <v>578.17999999999995</v>
      </c>
      <c r="E58" s="62">
        <v>578.17999999999995</v>
      </c>
      <c r="F58" s="62">
        <v>578.17999999999995</v>
      </c>
      <c r="G58" s="62">
        <v>578.17999999999995</v>
      </c>
      <c r="H58" s="62">
        <v>578.17999999999995</v>
      </c>
      <c r="I58" s="62">
        <v>578.17999999999995</v>
      </c>
      <c r="J58" s="62">
        <v>578.17999999999995</v>
      </c>
      <c r="K58" s="62">
        <v>578.17999999999995</v>
      </c>
      <c r="L58" s="62">
        <v>578.17999999999995</v>
      </c>
      <c r="M58" s="62">
        <v>578.17999999999995</v>
      </c>
      <c r="N58" s="100">
        <f t="shared" si="9"/>
        <v>7126.0300000000007</v>
      </c>
      <c r="O58" s="26"/>
      <c r="P58" s="69">
        <v>7809.77</v>
      </c>
      <c r="Q58" s="26"/>
      <c r="R58" s="51"/>
      <c r="S58" s="67"/>
      <c r="T58" s="67"/>
    </row>
    <row r="59" spans="1:20" x14ac:dyDescent="0.3">
      <c r="A59" s="30"/>
      <c r="B59" s="34">
        <f>SUM(B54:B58)</f>
        <v>5978.1600000000008</v>
      </c>
      <c r="C59" s="107">
        <f t="shared" ref="C59:M59" si="11">SUM(C54:C58)</f>
        <v>2430.46</v>
      </c>
      <c r="D59" s="107">
        <f t="shared" si="11"/>
        <v>2680.46</v>
      </c>
      <c r="E59" s="107">
        <f t="shared" si="11"/>
        <v>4454.1100000000006</v>
      </c>
      <c r="F59" s="107">
        <f t="shared" si="11"/>
        <v>2430.46</v>
      </c>
      <c r="G59" s="107">
        <f t="shared" si="11"/>
        <v>2680.46</v>
      </c>
      <c r="H59" s="107">
        <f t="shared" si="11"/>
        <v>5465.9299999999994</v>
      </c>
      <c r="I59" s="107">
        <f t="shared" si="11"/>
        <v>2430.46</v>
      </c>
      <c r="J59" s="107">
        <f t="shared" si="11"/>
        <v>5715.9299999999994</v>
      </c>
      <c r="K59" s="107">
        <f t="shared" si="11"/>
        <v>2430.46</v>
      </c>
      <c r="L59" s="107">
        <f t="shared" si="11"/>
        <v>2430.46</v>
      </c>
      <c r="M59" s="107">
        <f t="shared" si="11"/>
        <v>5715.9299999999994</v>
      </c>
      <c r="N59" s="139">
        <f t="shared" si="9"/>
        <v>44843.28</v>
      </c>
      <c r="O59" s="26"/>
      <c r="P59" s="142">
        <f>SUM(P54:P58)</f>
        <v>39287.770000000004</v>
      </c>
      <c r="Q59" s="26"/>
      <c r="R59" s="51"/>
      <c r="S59" s="67"/>
      <c r="T59" s="67"/>
    </row>
    <row r="60" spans="1:20" x14ac:dyDescent="0.3">
      <c r="A60" s="30"/>
      <c r="B60" s="34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39"/>
      <c r="O60" s="26"/>
      <c r="P60" s="27"/>
      <c r="Q60" s="26"/>
      <c r="R60" s="51"/>
      <c r="S60" s="67"/>
      <c r="T60" s="67"/>
    </row>
    <row r="61" spans="1:20" x14ac:dyDescent="0.3">
      <c r="A61" s="30" t="s">
        <v>39</v>
      </c>
      <c r="B61" s="33">
        <v>1005</v>
      </c>
      <c r="C61" s="54">
        <f>1005</f>
        <v>1005</v>
      </c>
      <c r="D61" s="53">
        <v>1005</v>
      </c>
      <c r="E61" s="54">
        <v>1005</v>
      </c>
      <c r="F61" s="54">
        <v>1005</v>
      </c>
      <c r="G61" s="54">
        <v>1005</v>
      </c>
      <c r="H61" s="54">
        <v>1005</v>
      </c>
      <c r="I61" s="54">
        <v>1005</v>
      </c>
      <c r="J61" s="54">
        <v>1005</v>
      </c>
      <c r="K61" s="54">
        <v>1005</v>
      </c>
      <c r="L61" s="54">
        <v>1005</v>
      </c>
      <c r="M61" s="54">
        <v>1005</v>
      </c>
      <c r="N61" s="55">
        <f t="shared" si="9"/>
        <v>12060</v>
      </c>
      <c r="O61" s="26"/>
      <c r="P61" s="27">
        <v>12060</v>
      </c>
      <c r="Q61" s="26"/>
      <c r="R61" s="51"/>
      <c r="S61" s="67"/>
      <c r="T61" s="67"/>
    </row>
    <row r="62" spans="1:20" x14ac:dyDescent="0.3">
      <c r="A62" s="30" t="s">
        <v>40</v>
      </c>
      <c r="B62" s="33">
        <v>89</v>
      </c>
      <c r="C62" s="54">
        <v>1000</v>
      </c>
      <c r="D62" s="54">
        <v>89</v>
      </c>
      <c r="E62" s="54">
        <v>89</v>
      </c>
      <c r="F62" s="54">
        <v>89</v>
      </c>
      <c r="G62" s="54">
        <v>89</v>
      </c>
      <c r="H62" s="54">
        <v>89</v>
      </c>
      <c r="I62" s="54">
        <v>89</v>
      </c>
      <c r="J62" s="54">
        <v>89</v>
      </c>
      <c r="K62" s="54">
        <v>89</v>
      </c>
      <c r="L62" s="54">
        <v>89</v>
      </c>
      <c r="M62" s="54">
        <v>89</v>
      </c>
      <c r="N62" s="55">
        <f t="shared" si="9"/>
        <v>1979</v>
      </c>
      <c r="O62" s="26"/>
      <c r="P62" s="27">
        <v>823</v>
      </c>
      <c r="Q62" s="26"/>
      <c r="R62" s="51"/>
      <c r="S62" s="67"/>
      <c r="T62" s="67"/>
    </row>
    <row r="63" spans="1:20" x14ac:dyDescent="0.3">
      <c r="A63" s="30" t="s">
        <v>41</v>
      </c>
      <c r="B63" s="31"/>
      <c r="C63" s="53"/>
      <c r="D63" s="53"/>
      <c r="E63" s="53"/>
      <c r="F63" s="54"/>
      <c r="G63" s="53"/>
      <c r="H63" s="53"/>
      <c r="I63" s="54"/>
      <c r="J63" s="54"/>
      <c r="K63" s="54"/>
      <c r="L63" s="54"/>
      <c r="M63" s="53"/>
      <c r="N63" s="55">
        <f t="shared" si="9"/>
        <v>0</v>
      </c>
      <c r="O63" s="26"/>
      <c r="P63" s="27">
        <f>(-339)</f>
        <v>-339</v>
      </c>
      <c r="Q63" s="26"/>
      <c r="R63" s="51"/>
      <c r="S63" s="67"/>
      <c r="T63" s="67"/>
    </row>
    <row r="64" spans="1:20" x14ac:dyDescent="0.3">
      <c r="A64" s="30" t="s">
        <v>42</v>
      </c>
      <c r="B64" s="31">
        <v>316</v>
      </c>
      <c r="C64" s="53">
        <v>328</v>
      </c>
      <c r="D64" s="53">
        <v>328</v>
      </c>
      <c r="E64" s="53">
        <v>328</v>
      </c>
      <c r="F64" s="53">
        <v>328</v>
      </c>
      <c r="G64" s="53">
        <v>328</v>
      </c>
      <c r="H64" s="53">
        <v>328</v>
      </c>
      <c r="I64" s="53">
        <v>328</v>
      </c>
      <c r="J64" s="53">
        <v>328</v>
      </c>
      <c r="K64" s="53">
        <v>328</v>
      </c>
      <c r="L64" s="53">
        <v>328</v>
      </c>
      <c r="M64" s="53">
        <v>328</v>
      </c>
      <c r="N64" s="55">
        <f t="shared" si="9"/>
        <v>3924</v>
      </c>
      <c r="O64" s="26"/>
      <c r="P64" s="27">
        <v>5337</v>
      </c>
      <c r="Q64" s="26"/>
      <c r="R64" s="51"/>
      <c r="S64" s="67"/>
      <c r="T64" s="67"/>
    </row>
    <row r="65" spans="1:20" x14ac:dyDescent="0.3">
      <c r="A65" s="30" t="s">
        <v>99</v>
      </c>
      <c r="B65" s="33">
        <v>179.9</v>
      </c>
      <c r="C65" s="54">
        <v>92</v>
      </c>
      <c r="D65" s="54">
        <v>92</v>
      </c>
      <c r="E65" s="54">
        <v>92</v>
      </c>
      <c r="F65" s="54">
        <v>92</v>
      </c>
      <c r="G65" s="54">
        <v>296</v>
      </c>
      <c r="H65" s="54">
        <v>296</v>
      </c>
      <c r="I65" s="54">
        <v>296</v>
      </c>
      <c r="J65" s="54">
        <v>92</v>
      </c>
      <c r="K65" s="54">
        <v>92</v>
      </c>
      <c r="L65" s="54">
        <v>92</v>
      </c>
      <c r="M65" s="54">
        <v>92</v>
      </c>
      <c r="N65" s="55">
        <f t="shared" si="9"/>
        <v>1803.9</v>
      </c>
      <c r="O65" s="26"/>
      <c r="P65" s="27">
        <v>1654</v>
      </c>
      <c r="Q65" s="26"/>
      <c r="R65" s="51"/>
      <c r="S65" s="67"/>
      <c r="T65" s="67"/>
    </row>
    <row r="66" spans="1:20" ht="16.2" x14ac:dyDescent="0.45">
      <c r="A66" s="30" t="s">
        <v>44</v>
      </c>
      <c r="B66" s="50">
        <v>1120</v>
      </c>
      <c r="C66" s="58">
        <v>1120</v>
      </c>
      <c r="D66" s="58">
        <v>1120</v>
      </c>
      <c r="E66" s="58">
        <v>1120</v>
      </c>
      <c r="F66" s="58">
        <v>1120</v>
      </c>
      <c r="G66" s="58">
        <v>1120</v>
      </c>
      <c r="H66" s="58">
        <v>1120</v>
      </c>
      <c r="I66" s="58">
        <v>1120</v>
      </c>
      <c r="J66" s="58">
        <v>1120</v>
      </c>
      <c r="K66" s="58">
        <v>1120</v>
      </c>
      <c r="L66" s="58">
        <v>1120</v>
      </c>
      <c r="M66" s="58">
        <v>1120</v>
      </c>
      <c r="N66" s="57">
        <f t="shared" si="9"/>
        <v>13440</v>
      </c>
      <c r="O66" s="26"/>
      <c r="P66" s="69">
        <v>12848</v>
      </c>
      <c r="Q66" s="26"/>
      <c r="R66" s="51"/>
      <c r="S66" s="67"/>
      <c r="T66" s="67"/>
    </row>
    <row r="67" spans="1:20" x14ac:dyDescent="0.3">
      <c r="A67" s="30" t="s">
        <v>100</v>
      </c>
      <c r="B67" s="34">
        <f>SUM(B61:B66)</f>
        <v>2709.9</v>
      </c>
      <c r="C67" s="107">
        <f t="shared" ref="C67:M67" si="12">SUM(C61:C66)</f>
        <v>3545</v>
      </c>
      <c r="D67" s="107">
        <f t="shared" si="12"/>
        <v>2634</v>
      </c>
      <c r="E67" s="107">
        <f t="shared" si="12"/>
        <v>2634</v>
      </c>
      <c r="F67" s="107">
        <f t="shared" si="12"/>
        <v>2634</v>
      </c>
      <c r="G67" s="107">
        <f t="shared" si="12"/>
        <v>2838</v>
      </c>
      <c r="H67" s="107">
        <f t="shared" si="12"/>
        <v>2838</v>
      </c>
      <c r="I67" s="107">
        <f t="shared" si="12"/>
        <v>2838</v>
      </c>
      <c r="J67" s="107">
        <f t="shared" si="12"/>
        <v>2634</v>
      </c>
      <c r="K67" s="107">
        <f t="shared" si="12"/>
        <v>2634</v>
      </c>
      <c r="L67" s="107">
        <f t="shared" si="12"/>
        <v>2634</v>
      </c>
      <c r="M67" s="107">
        <f t="shared" si="12"/>
        <v>2634</v>
      </c>
      <c r="N67" s="139">
        <f t="shared" si="9"/>
        <v>33206.9</v>
      </c>
      <c r="O67" s="26"/>
      <c r="P67" s="37">
        <f>SUM(P61:P66)</f>
        <v>32383</v>
      </c>
      <c r="Q67" s="26"/>
      <c r="R67" s="51"/>
      <c r="S67" s="67"/>
      <c r="T67" s="67"/>
    </row>
    <row r="68" spans="1:20" x14ac:dyDescent="0.3">
      <c r="A68" s="30"/>
      <c r="B68" s="34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106"/>
      <c r="O68" s="26"/>
      <c r="P68" s="27"/>
      <c r="Q68" s="26"/>
      <c r="R68" s="51"/>
      <c r="S68" s="67"/>
      <c r="T68" s="67"/>
    </row>
    <row r="69" spans="1:20" x14ac:dyDescent="0.3">
      <c r="A69" s="30" t="s">
        <v>45</v>
      </c>
      <c r="B69" s="109">
        <v>0</v>
      </c>
      <c r="C69" s="65">
        <v>0</v>
      </c>
      <c r="D69" s="65">
        <v>730.25</v>
      </c>
      <c r="E69" s="144"/>
      <c r="F69" s="65"/>
      <c r="G69" s="65">
        <v>730.25</v>
      </c>
      <c r="H69" s="65"/>
      <c r="I69" s="65"/>
      <c r="J69" s="65">
        <v>730.25</v>
      </c>
      <c r="K69" s="65"/>
      <c r="L69" s="65"/>
      <c r="M69" s="65">
        <v>730.25</v>
      </c>
      <c r="N69" s="106">
        <f t="shared" si="9"/>
        <v>2921</v>
      </c>
      <c r="O69" s="122"/>
      <c r="P69" s="37">
        <v>2823</v>
      </c>
      <c r="Q69" s="26"/>
      <c r="R69" s="51"/>
      <c r="S69" s="67"/>
      <c r="T69" s="67"/>
    </row>
    <row r="70" spans="1:20" ht="15" x14ac:dyDescent="0.35">
      <c r="A70" s="30"/>
      <c r="B70" s="148">
        <v>0</v>
      </c>
      <c r="C70" s="65"/>
      <c r="D70" s="65"/>
      <c r="E70" s="144"/>
      <c r="F70" s="65"/>
      <c r="G70" s="65"/>
      <c r="H70" s="65"/>
      <c r="I70" s="65"/>
      <c r="J70" s="65"/>
      <c r="K70" s="65"/>
      <c r="L70" s="65"/>
      <c r="M70" s="65"/>
      <c r="N70" s="106"/>
      <c r="O70" s="122"/>
      <c r="P70" s="37"/>
      <c r="Q70" s="26"/>
      <c r="R70" s="51"/>
      <c r="S70" s="67"/>
      <c r="T70" s="67"/>
    </row>
    <row r="71" spans="1:20" x14ac:dyDescent="0.3">
      <c r="A71" s="30" t="s">
        <v>101</v>
      </c>
      <c r="B71" s="31"/>
      <c r="C71" s="54"/>
      <c r="D71" s="54"/>
      <c r="E71" s="59"/>
      <c r="F71" s="54"/>
      <c r="G71" s="54"/>
      <c r="H71" s="54"/>
      <c r="I71" s="54"/>
      <c r="J71" s="54"/>
      <c r="K71" s="54"/>
      <c r="L71" s="54"/>
      <c r="M71" s="54"/>
      <c r="N71" s="55"/>
      <c r="O71" s="26"/>
      <c r="P71" s="27"/>
      <c r="Q71" s="26"/>
      <c r="R71" s="51"/>
      <c r="S71" s="67"/>
      <c r="T71" s="67"/>
    </row>
    <row r="72" spans="1:20" x14ac:dyDescent="0.3">
      <c r="A72" s="30" t="s">
        <v>46</v>
      </c>
      <c r="B72" s="33">
        <v>347.24</v>
      </c>
      <c r="C72" s="54">
        <v>546.36</v>
      </c>
      <c r="D72" s="54">
        <v>546.36</v>
      </c>
      <c r="E72" s="54">
        <v>547</v>
      </c>
      <c r="F72" s="54">
        <v>546.36</v>
      </c>
      <c r="G72" s="54">
        <v>546.36</v>
      </c>
      <c r="H72" s="54">
        <v>547</v>
      </c>
      <c r="I72" s="54">
        <v>546.36</v>
      </c>
      <c r="J72" s="54">
        <v>547</v>
      </c>
      <c r="K72" s="54">
        <v>546.36</v>
      </c>
      <c r="L72" s="54">
        <v>546.36</v>
      </c>
      <c r="M72" s="54">
        <v>547</v>
      </c>
      <c r="N72" s="55">
        <f t="shared" si="9"/>
        <v>6359.7599999999993</v>
      </c>
      <c r="O72" s="26"/>
      <c r="P72" s="27">
        <v>6230</v>
      </c>
      <c r="Q72" s="26"/>
      <c r="R72" s="51"/>
      <c r="S72" s="67"/>
      <c r="T72" s="67"/>
    </row>
    <row r="73" spans="1:20" ht="15" x14ac:dyDescent="0.35">
      <c r="A73" s="30" t="s">
        <v>102</v>
      </c>
      <c r="B73" s="33">
        <v>870</v>
      </c>
      <c r="C73" s="58"/>
      <c r="D73" s="58"/>
      <c r="E73" s="54">
        <v>1457</v>
      </c>
      <c r="F73" s="58"/>
      <c r="G73" s="58"/>
      <c r="H73" s="54">
        <v>1457</v>
      </c>
      <c r="I73" s="58"/>
      <c r="J73" s="58"/>
      <c r="K73" s="54">
        <v>1457</v>
      </c>
      <c r="L73" s="58"/>
      <c r="M73" s="58"/>
      <c r="N73" s="55">
        <f t="shared" si="9"/>
        <v>5241</v>
      </c>
      <c r="O73" s="26"/>
      <c r="P73" s="27">
        <v>5064</v>
      </c>
      <c r="Q73" s="26"/>
      <c r="R73" s="51"/>
      <c r="S73" s="67"/>
      <c r="T73" s="67"/>
    </row>
    <row r="74" spans="1:20" ht="16.2" x14ac:dyDescent="0.45">
      <c r="A74" s="30" t="s">
        <v>48</v>
      </c>
      <c r="B74" s="49">
        <v>46</v>
      </c>
      <c r="C74" s="60">
        <v>0</v>
      </c>
      <c r="D74" s="61"/>
      <c r="E74" s="61"/>
      <c r="F74" s="62"/>
      <c r="G74" s="62"/>
      <c r="H74" s="61"/>
      <c r="I74" s="61"/>
      <c r="J74" s="61"/>
      <c r="K74" s="61"/>
      <c r="L74" s="61"/>
      <c r="M74" s="56">
        <v>54</v>
      </c>
      <c r="N74" s="57">
        <f t="shared" si="9"/>
        <v>100</v>
      </c>
      <c r="O74" s="26"/>
      <c r="P74" s="69">
        <v>0</v>
      </c>
      <c r="Q74" s="26"/>
      <c r="R74" s="51"/>
      <c r="S74" s="67"/>
      <c r="T74" s="67"/>
    </row>
    <row r="75" spans="1:20" x14ac:dyDescent="0.3">
      <c r="A75" s="30" t="s">
        <v>103</v>
      </c>
      <c r="B75" s="108">
        <f>SUM(B69:B74)</f>
        <v>1263.24</v>
      </c>
      <c r="C75" s="137">
        <f t="shared" ref="C75:M75" si="13">SUM(C69:C74)</f>
        <v>546.36</v>
      </c>
      <c r="D75" s="137">
        <f t="shared" si="13"/>
        <v>1276.6100000000001</v>
      </c>
      <c r="E75" s="137">
        <f t="shared" si="13"/>
        <v>2004</v>
      </c>
      <c r="F75" s="137">
        <f t="shared" si="13"/>
        <v>546.36</v>
      </c>
      <c r="G75" s="137">
        <f t="shared" si="13"/>
        <v>1276.6100000000001</v>
      </c>
      <c r="H75" s="137">
        <f t="shared" si="13"/>
        <v>2004</v>
      </c>
      <c r="I75" s="137">
        <f t="shared" si="13"/>
        <v>546.36</v>
      </c>
      <c r="J75" s="137">
        <f t="shared" si="13"/>
        <v>1277.25</v>
      </c>
      <c r="K75" s="137">
        <f t="shared" si="13"/>
        <v>2003.3600000000001</v>
      </c>
      <c r="L75" s="137">
        <f t="shared" si="13"/>
        <v>546.36</v>
      </c>
      <c r="M75" s="137">
        <f t="shared" si="13"/>
        <v>1331.25</v>
      </c>
      <c r="N75" s="138">
        <f>SUM(B75:M75)</f>
        <v>14621.760000000002</v>
      </c>
      <c r="O75" s="26"/>
      <c r="P75" s="107">
        <f>SUM(P72:P74)</f>
        <v>11294</v>
      </c>
      <c r="Q75" s="26"/>
      <c r="R75" s="51"/>
      <c r="S75" s="67"/>
      <c r="T75" s="67"/>
    </row>
    <row r="76" spans="1:20" x14ac:dyDescent="0.3">
      <c r="A76" s="30"/>
      <c r="B76" s="31"/>
      <c r="C76" s="54"/>
      <c r="D76" s="53"/>
      <c r="E76" s="53"/>
      <c r="F76" s="54"/>
      <c r="G76" s="54"/>
      <c r="H76" s="53"/>
      <c r="I76" s="53"/>
      <c r="J76" s="53"/>
      <c r="K76" s="53"/>
      <c r="L76" s="53"/>
      <c r="M76" s="53"/>
      <c r="N76" s="55"/>
      <c r="O76" s="26"/>
      <c r="P76" s="46"/>
      <c r="Q76" s="26"/>
      <c r="R76" s="51"/>
      <c r="S76" s="67"/>
      <c r="T76" s="67"/>
    </row>
    <row r="77" spans="1:20" x14ac:dyDescent="0.3">
      <c r="A77" s="30" t="s">
        <v>104</v>
      </c>
      <c r="B77" s="31"/>
      <c r="C77" s="54"/>
      <c r="D77" s="53"/>
      <c r="E77" s="53"/>
      <c r="F77" s="54"/>
      <c r="G77" s="54"/>
      <c r="H77" s="53"/>
      <c r="I77" s="53"/>
      <c r="J77" s="53"/>
      <c r="K77" s="53"/>
      <c r="L77" s="53"/>
      <c r="M77" s="53"/>
      <c r="N77" s="55"/>
      <c r="O77" s="26"/>
      <c r="P77" s="46"/>
      <c r="Q77" s="26"/>
      <c r="R77" s="51"/>
      <c r="S77" s="67"/>
      <c r="T77" s="67"/>
    </row>
    <row r="78" spans="1:20" x14ac:dyDescent="0.3">
      <c r="A78" s="45" t="s">
        <v>49</v>
      </c>
      <c r="B78" s="33">
        <v>0</v>
      </c>
      <c r="C78" s="54">
        <v>0</v>
      </c>
      <c r="D78" s="54">
        <v>0</v>
      </c>
      <c r="E78" s="54"/>
      <c r="F78" s="54">
        <v>0</v>
      </c>
      <c r="G78" s="54">
        <v>0</v>
      </c>
      <c r="H78" s="54">
        <v>0</v>
      </c>
      <c r="I78" s="54">
        <v>0</v>
      </c>
      <c r="J78" s="54"/>
      <c r="K78" s="54">
        <v>0</v>
      </c>
      <c r="L78" s="54">
        <v>0</v>
      </c>
      <c r="M78" s="54">
        <v>0</v>
      </c>
      <c r="N78" s="55"/>
      <c r="O78" s="26"/>
      <c r="P78" s="67">
        <v>13050</v>
      </c>
      <c r="Q78" s="26"/>
      <c r="R78" s="51"/>
      <c r="S78" s="90"/>
      <c r="T78" s="67"/>
    </row>
    <row r="79" spans="1:20" x14ac:dyDescent="0.3">
      <c r="A79" s="45" t="s">
        <v>50</v>
      </c>
      <c r="B79" s="31">
        <v>490</v>
      </c>
      <c r="C79" s="54">
        <v>410</v>
      </c>
      <c r="D79" s="54">
        <v>410</v>
      </c>
      <c r="E79" s="54">
        <v>410</v>
      </c>
      <c r="F79" s="54">
        <v>410</v>
      </c>
      <c r="G79" s="54">
        <v>410</v>
      </c>
      <c r="H79" s="54">
        <v>410</v>
      </c>
      <c r="I79" s="54">
        <v>410</v>
      </c>
      <c r="J79" s="54">
        <v>410</v>
      </c>
      <c r="K79" s="54">
        <v>410</v>
      </c>
      <c r="L79" s="54">
        <v>410</v>
      </c>
      <c r="M79" s="54">
        <v>410</v>
      </c>
      <c r="N79" s="55">
        <f>SUM(B79:M79)</f>
        <v>5000</v>
      </c>
      <c r="O79" s="26"/>
      <c r="P79" s="67">
        <v>9897</v>
      </c>
      <c r="Q79" s="26"/>
      <c r="R79" s="51"/>
      <c r="S79" s="90"/>
      <c r="T79" s="67"/>
    </row>
    <row r="80" spans="1:20" x14ac:dyDescent="0.3">
      <c r="A80" s="30" t="s">
        <v>51</v>
      </c>
      <c r="B80" s="31"/>
      <c r="C80" s="53">
        <v>0</v>
      </c>
      <c r="D80" s="53"/>
      <c r="E80" s="53"/>
      <c r="F80" s="53"/>
      <c r="G80" s="53"/>
      <c r="H80" s="53"/>
      <c r="I80" s="53"/>
      <c r="J80" s="53"/>
      <c r="K80" s="53"/>
      <c r="L80" s="53"/>
      <c r="M80" s="54"/>
      <c r="N80" s="55">
        <f>SUM(B80:M80)</f>
        <v>0</v>
      </c>
      <c r="O80" s="26"/>
      <c r="P80" s="67">
        <v>273</v>
      </c>
      <c r="Q80" s="26"/>
      <c r="R80" s="51"/>
      <c r="S80" s="67"/>
      <c r="T80" s="67"/>
    </row>
    <row r="81" spans="1:20" x14ac:dyDescent="0.3">
      <c r="A81" s="30" t="s">
        <v>115</v>
      </c>
      <c r="B81" s="31">
        <v>3000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4"/>
      <c r="N81" s="55">
        <f>SUM(B81:M81)</f>
        <v>3000</v>
      </c>
      <c r="O81" s="26"/>
      <c r="P81" s="67">
        <v>9000</v>
      </c>
      <c r="Q81" s="26"/>
      <c r="R81" s="51"/>
      <c r="S81" s="67"/>
      <c r="T81" s="67"/>
    </row>
    <row r="82" spans="1:20" ht="16.2" x14ac:dyDescent="0.45">
      <c r="A82" s="30" t="s">
        <v>52</v>
      </c>
      <c r="B82" s="111"/>
      <c r="C82" s="112">
        <v>500</v>
      </c>
      <c r="D82" s="112">
        <v>500</v>
      </c>
      <c r="E82" s="112"/>
      <c r="F82" s="112"/>
      <c r="G82" s="112"/>
      <c r="H82" s="112"/>
      <c r="I82" s="112"/>
      <c r="J82" s="112"/>
      <c r="K82" s="112"/>
      <c r="L82" s="112"/>
      <c r="M82" s="112"/>
      <c r="N82" s="113">
        <f t="shared" si="9"/>
        <v>1000</v>
      </c>
      <c r="O82" s="114"/>
      <c r="P82" s="119">
        <v>35200</v>
      </c>
      <c r="Q82" s="26"/>
      <c r="R82" s="51"/>
      <c r="S82" s="89"/>
      <c r="T82" s="67"/>
    </row>
    <row r="83" spans="1:20" x14ac:dyDescent="0.3">
      <c r="A83" s="45" t="s">
        <v>53</v>
      </c>
      <c r="B83" s="99">
        <v>0</v>
      </c>
      <c r="C83" s="61">
        <v>0</v>
      </c>
      <c r="D83" s="61">
        <v>0</v>
      </c>
      <c r="E83" s="61">
        <v>0</v>
      </c>
      <c r="F83" s="61">
        <v>0</v>
      </c>
      <c r="G83" s="61">
        <v>0</v>
      </c>
      <c r="H83" s="61">
        <v>0</v>
      </c>
      <c r="I83" s="61">
        <v>0</v>
      </c>
      <c r="J83" s="61">
        <v>0</v>
      </c>
      <c r="K83" s="61">
        <v>0</v>
      </c>
      <c r="L83" s="61">
        <v>0</v>
      </c>
      <c r="M83" s="61">
        <v>0</v>
      </c>
      <c r="N83" s="100">
        <f t="shared" ref="N83" si="14">SUM(B83:M83)</f>
        <v>0</v>
      </c>
      <c r="O83" s="117"/>
      <c r="P83" s="118">
        <v>0</v>
      </c>
      <c r="Q83" s="26"/>
      <c r="R83" s="51"/>
      <c r="S83" s="89"/>
      <c r="T83" s="67"/>
    </row>
    <row r="84" spans="1:20" x14ac:dyDescent="0.3">
      <c r="A84" s="30" t="s">
        <v>105</v>
      </c>
      <c r="B84" s="115">
        <f>SUM(B78:B83)</f>
        <v>3490</v>
      </c>
      <c r="C84" s="123">
        <f t="shared" ref="C84:M84" si="15">SUM(C78:C83)</f>
        <v>910</v>
      </c>
      <c r="D84" s="123">
        <f t="shared" si="15"/>
        <v>910</v>
      </c>
      <c r="E84" s="123">
        <f t="shared" si="15"/>
        <v>410</v>
      </c>
      <c r="F84" s="123">
        <f t="shared" si="15"/>
        <v>410</v>
      </c>
      <c r="G84" s="123">
        <f t="shared" si="15"/>
        <v>410</v>
      </c>
      <c r="H84" s="123">
        <f t="shared" si="15"/>
        <v>410</v>
      </c>
      <c r="I84" s="123">
        <f t="shared" si="15"/>
        <v>410</v>
      </c>
      <c r="J84" s="123">
        <f t="shared" si="15"/>
        <v>410</v>
      </c>
      <c r="K84" s="123">
        <f t="shared" si="15"/>
        <v>410</v>
      </c>
      <c r="L84" s="123">
        <f t="shared" si="15"/>
        <v>410</v>
      </c>
      <c r="M84" s="123">
        <f t="shared" si="15"/>
        <v>410</v>
      </c>
      <c r="N84" s="143">
        <f>SUM(N78:N82)</f>
        <v>9000</v>
      </c>
      <c r="O84" s="96"/>
      <c r="P84" s="107">
        <f>SUM(P78:P83)</f>
        <v>67420</v>
      </c>
      <c r="Q84" s="26"/>
      <c r="R84" s="51"/>
      <c r="S84" s="90"/>
      <c r="T84" s="67"/>
    </row>
    <row r="85" spans="1:20" x14ac:dyDescent="0.3">
      <c r="A85" s="30"/>
      <c r="B85" s="109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06"/>
      <c r="O85" s="26"/>
      <c r="P85" s="27"/>
      <c r="Q85" s="26"/>
      <c r="R85" s="51"/>
      <c r="S85" s="90"/>
      <c r="T85" s="67"/>
    </row>
    <row r="86" spans="1:20" x14ac:dyDescent="0.3">
      <c r="A86" s="30" t="s">
        <v>54</v>
      </c>
      <c r="B86" s="33">
        <v>73.760000000000005</v>
      </c>
      <c r="C86" s="54">
        <v>129.65</v>
      </c>
      <c r="D86" s="54">
        <v>129.65</v>
      </c>
      <c r="E86" s="54">
        <v>129.65</v>
      </c>
      <c r="F86" s="54">
        <v>129.65</v>
      </c>
      <c r="G86" s="54">
        <v>129.65</v>
      </c>
      <c r="H86" s="54">
        <v>129.65</v>
      </c>
      <c r="I86" s="54">
        <v>129.65</v>
      </c>
      <c r="J86" s="54">
        <v>129.65</v>
      </c>
      <c r="K86" s="54">
        <v>129.65</v>
      </c>
      <c r="L86" s="54">
        <v>129.65</v>
      </c>
      <c r="M86" s="54">
        <v>129.65</v>
      </c>
      <c r="N86" s="55">
        <f t="shared" si="9"/>
        <v>1499.9100000000003</v>
      </c>
      <c r="O86" s="26"/>
      <c r="P86" s="27">
        <v>1094</v>
      </c>
      <c r="Q86" s="26"/>
      <c r="R86" s="51"/>
      <c r="S86" s="67"/>
      <c r="T86" s="67"/>
    </row>
    <row r="87" spans="1:20" x14ac:dyDescent="0.3">
      <c r="A87" s="30" t="s">
        <v>106</v>
      </c>
      <c r="B87" s="33">
        <v>562.74</v>
      </c>
      <c r="C87" s="54">
        <v>200</v>
      </c>
      <c r="D87" s="54">
        <v>200</v>
      </c>
      <c r="E87" s="54">
        <v>200</v>
      </c>
      <c r="F87" s="54">
        <v>200</v>
      </c>
      <c r="G87" s="54">
        <v>200</v>
      </c>
      <c r="H87" s="54">
        <v>200</v>
      </c>
      <c r="I87" s="54">
        <v>200</v>
      </c>
      <c r="J87" s="54">
        <v>200</v>
      </c>
      <c r="K87" s="54">
        <v>200</v>
      </c>
      <c r="L87" s="54">
        <v>200</v>
      </c>
      <c r="M87" s="54">
        <v>200</v>
      </c>
      <c r="N87" s="55">
        <f t="shared" si="9"/>
        <v>2762.74</v>
      </c>
      <c r="O87" s="26"/>
      <c r="P87" s="27">
        <v>1772</v>
      </c>
      <c r="Q87" s="26"/>
      <c r="R87" s="51"/>
      <c r="S87" s="67"/>
      <c r="T87" s="67"/>
    </row>
    <row r="88" spans="1:20" x14ac:dyDescent="0.3">
      <c r="A88" s="30" t="s">
        <v>55</v>
      </c>
      <c r="B88" s="33">
        <v>554.16</v>
      </c>
      <c r="C88" s="54"/>
      <c r="D88" s="54">
        <v>286.45999999999998</v>
      </c>
      <c r="E88" s="54"/>
      <c r="F88" s="54"/>
      <c r="G88" s="54">
        <v>286.45999999999998</v>
      </c>
      <c r="H88" s="54"/>
      <c r="I88" s="54"/>
      <c r="J88" s="54">
        <v>286.45999999999998</v>
      </c>
      <c r="K88" s="54"/>
      <c r="L88" s="54"/>
      <c r="M88" s="54">
        <v>286.45999999999998</v>
      </c>
      <c r="N88" s="55">
        <f t="shared" si="9"/>
        <v>1700</v>
      </c>
      <c r="O88" s="26"/>
      <c r="P88" s="27">
        <v>1708</v>
      </c>
      <c r="Q88" s="26"/>
      <c r="R88" s="51"/>
      <c r="S88" s="67"/>
      <c r="T88" s="67"/>
    </row>
    <row r="89" spans="1:20" ht="16.2" x14ac:dyDescent="0.45">
      <c r="A89" s="30" t="s">
        <v>56</v>
      </c>
      <c r="B89" s="103">
        <v>199</v>
      </c>
      <c r="C89" s="62">
        <v>0</v>
      </c>
      <c r="D89" s="62">
        <v>251.5</v>
      </c>
      <c r="E89" s="61"/>
      <c r="F89" s="62"/>
      <c r="G89" s="62">
        <v>251.5</v>
      </c>
      <c r="H89" s="61"/>
      <c r="I89" s="62"/>
      <c r="J89" s="61">
        <v>251.5</v>
      </c>
      <c r="K89" s="62"/>
      <c r="L89" s="62"/>
      <c r="M89" s="61">
        <v>251.5</v>
      </c>
      <c r="N89" s="121">
        <f>SUM(B89:M89)</f>
        <v>1205</v>
      </c>
      <c r="O89" s="26"/>
      <c r="P89" s="69">
        <v>1288</v>
      </c>
      <c r="Q89" s="26"/>
      <c r="R89" s="51"/>
      <c r="S89" s="67"/>
      <c r="T89" s="67"/>
    </row>
    <row r="90" spans="1:20" x14ac:dyDescent="0.3">
      <c r="A90" s="30"/>
      <c r="B90" s="109">
        <f t="shared" ref="B90:M90" si="16">SUM(B86:B89)</f>
        <v>1389.6599999999999</v>
      </c>
      <c r="C90" s="120">
        <f t="shared" si="16"/>
        <v>329.65</v>
      </c>
      <c r="D90" s="120">
        <f t="shared" si="16"/>
        <v>867.6099999999999</v>
      </c>
      <c r="E90" s="120">
        <f t="shared" si="16"/>
        <v>329.65</v>
      </c>
      <c r="F90" s="120">
        <f t="shared" si="16"/>
        <v>329.65</v>
      </c>
      <c r="G90" s="120">
        <f t="shared" si="16"/>
        <v>867.6099999999999</v>
      </c>
      <c r="H90" s="120">
        <f t="shared" si="16"/>
        <v>329.65</v>
      </c>
      <c r="I90" s="120">
        <f t="shared" si="16"/>
        <v>329.65</v>
      </c>
      <c r="J90" s="120">
        <f t="shared" si="16"/>
        <v>867.6099999999999</v>
      </c>
      <c r="K90" s="120">
        <f t="shared" si="16"/>
        <v>329.65</v>
      </c>
      <c r="L90" s="120">
        <f t="shared" si="16"/>
        <v>329.65</v>
      </c>
      <c r="M90" s="120">
        <f t="shared" si="16"/>
        <v>867.6099999999999</v>
      </c>
      <c r="N90" s="143">
        <f>SUM(B90:M90)</f>
        <v>7167.6499999999978</v>
      </c>
      <c r="O90" s="26"/>
      <c r="P90" s="37">
        <f>SUM(P86:P89)</f>
        <v>5862</v>
      </c>
      <c r="Q90" s="26"/>
      <c r="R90" s="51"/>
      <c r="S90" s="67"/>
      <c r="T90" s="67"/>
    </row>
    <row r="91" spans="1:20" x14ac:dyDescent="0.3">
      <c r="A91" s="30"/>
      <c r="B91" s="33"/>
      <c r="C91" s="54"/>
      <c r="D91" s="54"/>
      <c r="E91" s="53"/>
      <c r="F91" s="54"/>
      <c r="G91" s="54"/>
      <c r="H91" s="53"/>
      <c r="I91" s="54"/>
      <c r="J91" s="53"/>
      <c r="K91" s="54"/>
      <c r="L91" s="54"/>
      <c r="M91" s="53"/>
      <c r="N91" s="55"/>
      <c r="O91" s="26"/>
      <c r="P91" s="27"/>
      <c r="Q91" s="26"/>
      <c r="R91" s="51"/>
      <c r="S91" s="67"/>
      <c r="T91" s="67"/>
    </row>
    <row r="92" spans="1:20" x14ac:dyDescent="0.3">
      <c r="A92" s="30" t="s">
        <v>57</v>
      </c>
      <c r="B92" s="34">
        <v>1674</v>
      </c>
      <c r="C92" s="65">
        <v>545.25</v>
      </c>
      <c r="D92" s="65">
        <v>1109.93</v>
      </c>
      <c r="E92" s="65">
        <v>1109.93</v>
      </c>
      <c r="F92" s="65">
        <v>1109.93</v>
      </c>
      <c r="G92" s="65">
        <v>1109.93</v>
      </c>
      <c r="H92" s="65">
        <v>1109.93</v>
      </c>
      <c r="I92" s="65">
        <v>1109.93</v>
      </c>
      <c r="J92" s="65">
        <v>1109.93</v>
      </c>
      <c r="K92" s="65">
        <v>1109.93</v>
      </c>
      <c r="L92" s="65">
        <v>1109.93</v>
      </c>
      <c r="M92" s="65">
        <v>1109.93</v>
      </c>
      <c r="N92" s="106">
        <f t="shared" si="9"/>
        <v>13318.550000000003</v>
      </c>
      <c r="O92" s="26"/>
      <c r="P92" s="37">
        <v>15392</v>
      </c>
      <c r="Q92" s="26"/>
      <c r="R92" s="51"/>
      <c r="S92" s="67"/>
      <c r="T92" s="67"/>
    </row>
    <row r="93" spans="1:20" ht="15" x14ac:dyDescent="0.35">
      <c r="A93" s="30"/>
      <c r="B93" s="149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5"/>
      <c r="O93" s="26"/>
      <c r="P93" s="27"/>
      <c r="Q93" s="26"/>
      <c r="R93" s="51"/>
      <c r="S93" s="67"/>
      <c r="T93" s="67"/>
    </row>
    <row r="94" spans="1:20" x14ac:dyDescent="0.3">
      <c r="A94" s="30" t="s">
        <v>117</v>
      </c>
      <c r="B94" s="33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5"/>
      <c r="O94" s="26"/>
      <c r="P94" s="27"/>
      <c r="Q94" s="26"/>
      <c r="R94" s="51"/>
      <c r="S94" s="67"/>
      <c r="T94" s="67"/>
    </row>
    <row r="95" spans="1:20" x14ac:dyDescent="0.3">
      <c r="A95" s="30" t="s">
        <v>58</v>
      </c>
      <c r="B95" s="33"/>
      <c r="C95" s="53"/>
      <c r="D95" s="54"/>
      <c r="E95" s="54"/>
      <c r="F95" s="54"/>
      <c r="G95" s="54">
        <v>250</v>
      </c>
      <c r="H95" s="54"/>
      <c r="I95" s="53"/>
      <c r="J95" s="53"/>
      <c r="K95" s="53"/>
      <c r="L95" s="53"/>
      <c r="M95" s="53">
        <v>250</v>
      </c>
      <c r="N95" s="55">
        <f t="shared" si="9"/>
        <v>500</v>
      </c>
      <c r="O95" s="26"/>
      <c r="P95" s="27">
        <v>407</v>
      </c>
      <c r="Q95" s="26"/>
      <c r="R95" s="51"/>
      <c r="S95" s="67"/>
      <c r="T95" s="67"/>
    </row>
    <row r="96" spans="1:20" ht="16.2" x14ac:dyDescent="0.45">
      <c r="A96" s="30" t="s">
        <v>59</v>
      </c>
      <c r="B96" s="103">
        <v>622.42999999999995</v>
      </c>
      <c r="C96" s="62">
        <v>455</v>
      </c>
      <c r="D96" s="62">
        <v>455</v>
      </c>
      <c r="E96" s="62">
        <v>455</v>
      </c>
      <c r="F96" s="62">
        <v>455</v>
      </c>
      <c r="G96" s="62">
        <v>455</v>
      </c>
      <c r="H96" s="62">
        <v>455</v>
      </c>
      <c r="I96" s="62">
        <v>455</v>
      </c>
      <c r="J96" s="62">
        <v>2005</v>
      </c>
      <c r="K96" s="62">
        <v>1775</v>
      </c>
      <c r="L96" s="62">
        <v>455</v>
      </c>
      <c r="M96" s="62">
        <v>455</v>
      </c>
      <c r="N96" s="100">
        <f t="shared" si="9"/>
        <v>8497.43</v>
      </c>
      <c r="O96" s="26"/>
      <c r="P96" s="69">
        <v>20060</v>
      </c>
      <c r="Q96" s="26"/>
      <c r="R96" s="51"/>
      <c r="S96" s="67"/>
      <c r="T96" s="67"/>
    </row>
    <row r="97" spans="1:20" x14ac:dyDescent="0.3">
      <c r="A97" s="30" t="s">
        <v>118</v>
      </c>
      <c r="B97" s="47">
        <f>SUM(B95+B96)</f>
        <v>622.42999999999995</v>
      </c>
      <c r="C97" s="102">
        <f t="shared" ref="C97:M97" si="17">SUM(C95+C96)</f>
        <v>455</v>
      </c>
      <c r="D97" s="102">
        <f t="shared" si="17"/>
        <v>455</v>
      </c>
      <c r="E97" s="102">
        <f t="shared" si="17"/>
        <v>455</v>
      </c>
      <c r="F97" s="102">
        <f t="shared" si="17"/>
        <v>455</v>
      </c>
      <c r="G97" s="102">
        <f t="shared" si="17"/>
        <v>705</v>
      </c>
      <c r="H97" s="102">
        <f t="shared" si="17"/>
        <v>455</v>
      </c>
      <c r="I97" s="102">
        <f t="shared" si="17"/>
        <v>455</v>
      </c>
      <c r="J97" s="102">
        <f t="shared" si="17"/>
        <v>2005</v>
      </c>
      <c r="K97" s="102">
        <f t="shared" si="17"/>
        <v>1775</v>
      </c>
      <c r="L97" s="102">
        <f t="shared" si="17"/>
        <v>455</v>
      </c>
      <c r="M97" s="102">
        <f t="shared" si="17"/>
        <v>705</v>
      </c>
      <c r="N97" s="139">
        <f t="shared" si="9"/>
        <v>8997.43</v>
      </c>
      <c r="O97" s="122"/>
      <c r="P97" s="37">
        <f>SUM(P95:P96)</f>
        <v>20467</v>
      </c>
      <c r="Q97" s="26"/>
      <c r="R97" s="51"/>
      <c r="S97" s="67"/>
      <c r="T97" s="67"/>
    </row>
    <row r="98" spans="1:20" x14ac:dyDescent="0.3">
      <c r="A98" s="30"/>
      <c r="B98" s="33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5"/>
      <c r="O98" s="26"/>
      <c r="P98" s="27"/>
      <c r="Q98" s="26"/>
      <c r="R98" s="51"/>
      <c r="S98" s="67"/>
      <c r="T98" s="67"/>
    </row>
    <row r="99" spans="1:20" x14ac:dyDescent="0.3">
      <c r="A99" s="30" t="s">
        <v>60</v>
      </c>
      <c r="B99" s="33"/>
      <c r="C99" s="54"/>
      <c r="D99" s="54"/>
      <c r="E99" s="54"/>
      <c r="F99" s="54"/>
      <c r="G99" s="54"/>
      <c r="H99" s="54"/>
      <c r="I99" s="54"/>
      <c r="J99" s="54"/>
      <c r="K99" s="54">
        <v>3500</v>
      </c>
      <c r="L99" s="54"/>
      <c r="M99" s="54"/>
      <c r="N99" s="64">
        <f>SUM(B99:M99)</f>
        <v>3500</v>
      </c>
      <c r="O99" s="67"/>
      <c r="P99" s="27">
        <v>3073</v>
      </c>
      <c r="Q99" s="26"/>
      <c r="R99" s="51"/>
      <c r="S99" s="90"/>
      <c r="T99" s="67"/>
    </row>
    <row r="100" spans="1:20" x14ac:dyDescent="0.3">
      <c r="A100" s="30" t="s">
        <v>61</v>
      </c>
      <c r="B100" s="31">
        <v>104.55</v>
      </c>
      <c r="C100" s="53"/>
      <c r="D100" s="53"/>
      <c r="E100" s="53">
        <v>131.82</v>
      </c>
      <c r="F100" s="59"/>
      <c r="G100" s="53"/>
      <c r="H100" s="53"/>
      <c r="I100" s="53">
        <v>131.82</v>
      </c>
      <c r="J100" s="54"/>
      <c r="K100" s="53"/>
      <c r="L100" s="53">
        <v>131.85</v>
      </c>
      <c r="M100" s="53"/>
      <c r="N100" s="55">
        <f t="shared" si="9"/>
        <v>500.03999999999996</v>
      </c>
      <c r="O100" s="26"/>
      <c r="P100" s="27">
        <v>158</v>
      </c>
      <c r="Q100" s="26"/>
      <c r="R100" s="51"/>
      <c r="S100" s="67"/>
      <c r="T100" s="67"/>
    </row>
    <row r="101" spans="1:20" x14ac:dyDescent="0.3">
      <c r="A101" s="30" t="s">
        <v>62</v>
      </c>
      <c r="B101" s="33">
        <v>21</v>
      </c>
      <c r="C101" s="54">
        <v>0</v>
      </c>
      <c r="D101" s="54">
        <v>0</v>
      </c>
      <c r="E101" s="54">
        <v>2500</v>
      </c>
      <c r="F101" s="54">
        <v>2500</v>
      </c>
      <c r="G101" s="54">
        <v>2500</v>
      </c>
      <c r="H101" s="54">
        <v>2500</v>
      </c>
      <c r="I101" s="54"/>
      <c r="J101" s="53"/>
      <c r="K101" s="53"/>
      <c r="L101" s="53"/>
      <c r="M101" s="53"/>
      <c r="N101" s="55">
        <f t="shared" si="9"/>
        <v>10021</v>
      </c>
      <c r="O101" s="26"/>
      <c r="P101" s="27">
        <v>84</v>
      </c>
      <c r="Q101" s="26"/>
      <c r="R101" s="51"/>
      <c r="S101" s="67"/>
      <c r="T101" s="67"/>
    </row>
    <row r="102" spans="1:20" ht="18.600000000000001" customHeight="1" x14ac:dyDescent="0.45">
      <c r="A102" s="30" t="s">
        <v>107</v>
      </c>
      <c r="B102" s="99"/>
      <c r="C102" s="61">
        <v>0</v>
      </c>
      <c r="D102" s="61">
        <v>0</v>
      </c>
      <c r="E102" s="61">
        <v>0</v>
      </c>
      <c r="F102" s="61">
        <v>0</v>
      </c>
      <c r="G102" s="61">
        <v>0</v>
      </c>
      <c r="H102" s="61">
        <v>150</v>
      </c>
      <c r="I102" s="61">
        <v>0</v>
      </c>
      <c r="J102" s="61">
        <v>150</v>
      </c>
      <c r="K102" s="61">
        <v>0</v>
      </c>
      <c r="L102" s="61">
        <v>0</v>
      </c>
      <c r="M102" s="61">
        <v>0</v>
      </c>
      <c r="N102" s="100">
        <f t="shared" si="9"/>
        <v>300</v>
      </c>
      <c r="O102" s="26"/>
      <c r="P102" s="69">
        <v>239</v>
      </c>
      <c r="Q102" s="26"/>
      <c r="R102" s="51"/>
      <c r="S102" s="67"/>
      <c r="T102" s="67"/>
    </row>
    <row r="103" spans="1:20" ht="18.600000000000001" customHeight="1" x14ac:dyDescent="0.45">
      <c r="A103" s="30" t="s">
        <v>119</v>
      </c>
      <c r="B103" s="115">
        <f>SUM(B99:B102)</f>
        <v>125.55</v>
      </c>
      <c r="C103" s="123">
        <f t="shared" ref="C103:M103" si="18">SUM(C99:C102)</f>
        <v>0</v>
      </c>
      <c r="D103" s="123">
        <f t="shared" si="18"/>
        <v>0</v>
      </c>
      <c r="E103" s="123">
        <f t="shared" si="18"/>
        <v>2631.82</v>
      </c>
      <c r="F103" s="123">
        <f t="shared" si="18"/>
        <v>2500</v>
      </c>
      <c r="G103" s="123">
        <f t="shared" si="18"/>
        <v>2500</v>
      </c>
      <c r="H103" s="123">
        <f t="shared" si="18"/>
        <v>2650</v>
      </c>
      <c r="I103" s="123">
        <f t="shared" si="18"/>
        <v>131.82</v>
      </c>
      <c r="J103" s="123">
        <f t="shared" si="18"/>
        <v>150</v>
      </c>
      <c r="K103" s="123">
        <f t="shared" si="18"/>
        <v>3500</v>
      </c>
      <c r="L103" s="123">
        <f t="shared" si="18"/>
        <v>131.85</v>
      </c>
      <c r="M103" s="123">
        <f t="shared" si="18"/>
        <v>0</v>
      </c>
      <c r="N103" s="135">
        <f>SUM(B103:M103)</f>
        <v>14321.04</v>
      </c>
      <c r="O103" s="26"/>
      <c r="P103" s="73">
        <f>SUM(P99:P102)</f>
        <v>3554</v>
      </c>
      <c r="Q103" s="26"/>
      <c r="R103" s="51"/>
      <c r="S103" s="67"/>
      <c r="T103" s="67"/>
    </row>
    <row r="104" spans="1:20" ht="18.600000000000001" customHeight="1" x14ac:dyDescent="0.45">
      <c r="A104" s="30"/>
      <c r="B104" s="12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3"/>
      <c r="O104" s="26"/>
      <c r="P104" s="69"/>
      <c r="Q104" s="26"/>
      <c r="R104" s="51"/>
      <c r="S104" s="67"/>
      <c r="T104" s="67"/>
    </row>
    <row r="105" spans="1:20" ht="18.600000000000001" customHeight="1" x14ac:dyDescent="0.45">
      <c r="A105" s="30" t="s">
        <v>108</v>
      </c>
      <c r="B105" s="47">
        <f>SUM(B41+B52+B59+B67+B75+B84+B90+B92+B97+B103)</f>
        <v>81654.840000000011</v>
      </c>
      <c r="C105" s="102">
        <f t="shared" ref="C105:M105" si="19">SUM(C41+C52+C59+C67+C75+C84+C90+C92+C97+C103)</f>
        <v>75938.082999999999</v>
      </c>
      <c r="D105" s="102">
        <f t="shared" si="19"/>
        <v>84526.232999999993</v>
      </c>
      <c r="E105" s="102">
        <f t="shared" si="19"/>
        <v>95360.896999999997</v>
      </c>
      <c r="F105" s="102">
        <f t="shared" si="19"/>
        <v>86366.035499999984</v>
      </c>
      <c r="G105" s="102">
        <f t="shared" si="19"/>
        <v>96012.755499999999</v>
      </c>
      <c r="H105" s="102">
        <f t="shared" si="19"/>
        <v>99242.627999999982</v>
      </c>
      <c r="I105" s="102">
        <f t="shared" si="19"/>
        <v>93580.40800000001</v>
      </c>
      <c r="J105" s="102">
        <f t="shared" si="19"/>
        <v>97210.958499999979</v>
      </c>
      <c r="K105" s="102">
        <f t="shared" si="19"/>
        <v>94355.538499999995</v>
      </c>
      <c r="L105" s="102">
        <f t="shared" si="19"/>
        <v>86400.388500000001</v>
      </c>
      <c r="M105" s="102">
        <f t="shared" si="19"/>
        <v>90706.838499999983</v>
      </c>
      <c r="N105" s="145">
        <f>SUM(B105:M105)</f>
        <v>1081355.6040000001</v>
      </c>
      <c r="O105" s="26"/>
      <c r="P105" s="73">
        <f>SUM(P41+P52+P59+P67+P69+P75+P84+P90+P92+P97+P103)</f>
        <v>932178.25999999989</v>
      </c>
      <c r="Q105" s="26"/>
      <c r="R105" s="51"/>
      <c r="S105" s="67"/>
      <c r="T105" s="67"/>
    </row>
    <row r="106" spans="1:20" ht="15" x14ac:dyDescent="0.35">
      <c r="B106" s="125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26"/>
      <c r="P106" s="68"/>
      <c r="Q106" s="26"/>
      <c r="R106" s="51"/>
      <c r="S106" s="67"/>
      <c r="T106" s="67"/>
    </row>
    <row r="107" spans="1:20" ht="15" x14ac:dyDescent="0.35">
      <c r="A107" s="30"/>
      <c r="B107" s="47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26"/>
      <c r="P107" s="71"/>
      <c r="Q107" s="26"/>
      <c r="R107" s="51"/>
      <c r="S107" s="67"/>
      <c r="T107" s="67"/>
    </row>
    <row r="108" spans="1:20" x14ac:dyDescent="0.3">
      <c r="A108" s="30" t="s">
        <v>109</v>
      </c>
      <c r="B108" s="47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26"/>
      <c r="P108" s="83">
        <v>2352</v>
      </c>
      <c r="Q108" s="26"/>
      <c r="R108" s="51"/>
      <c r="S108" s="67"/>
      <c r="T108" s="67"/>
    </row>
    <row r="109" spans="1:20" x14ac:dyDescent="0.3">
      <c r="A109" s="30" t="s">
        <v>110</v>
      </c>
      <c r="B109" s="47">
        <v>6</v>
      </c>
      <c r="C109" s="52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147">
        <f t="shared" ref="N109:N115" si="20">SUM(B109:M109)</f>
        <v>6</v>
      </c>
      <c r="O109" s="26"/>
      <c r="P109" s="83">
        <v>100</v>
      </c>
      <c r="Q109" s="26"/>
      <c r="R109" s="51"/>
      <c r="S109" s="67"/>
      <c r="T109" s="67"/>
    </row>
    <row r="110" spans="1:20" x14ac:dyDescent="0.3">
      <c r="A110" s="30" t="s">
        <v>111</v>
      </c>
      <c r="B110" s="47">
        <v>284.18</v>
      </c>
      <c r="C110" s="52"/>
      <c r="D110" s="76">
        <v>250</v>
      </c>
      <c r="E110" s="76"/>
      <c r="F110" s="76"/>
      <c r="G110" s="76">
        <v>250</v>
      </c>
      <c r="H110" s="76"/>
      <c r="I110" s="76"/>
      <c r="J110" s="76">
        <v>250</v>
      </c>
      <c r="K110" s="76"/>
      <c r="L110" s="76"/>
      <c r="M110" s="76">
        <v>2250</v>
      </c>
      <c r="N110" s="54">
        <f t="shared" si="20"/>
        <v>3284.1800000000003</v>
      </c>
      <c r="O110" s="26"/>
      <c r="P110" s="83">
        <v>3077</v>
      </c>
      <c r="Q110" s="26"/>
      <c r="R110" s="51"/>
      <c r="S110" s="67"/>
      <c r="T110" s="67"/>
    </row>
    <row r="111" spans="1:20" x14ac:dyDescent="0.3">
      <c r="A111" s="30" t="s">
        <v>112</v>
      </c>
      <c r="B111" s="47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26"/>
      <c r="P111" s="83">
        <v>0</v>
      </c>
      <c r="Q111" s="26"/>
      <c r="R111" s="51"/>
      <c r="S111" s="67"/>
      <c r="T111" s="67"/>
    </row>
    <row r="112" spans="1:20" ht="15" x14ac:dyDescent="0.35">
      <c r="A112" s="30" t="s">
        <v>113</v>
      </c>
      <c r="B112" s="33">
        <v>2085.71</v>
      </c>
      <c r="C112" s="74">
        <v>2085.71</v>
      </c>
      <c r="D112" s="74">
        <v>2085.71</v>
      </c>
      <c r="E112" s="74">
        <v>2085.71</v>
      </c>
      <c r="F112" s="74">
        <v>2085.71</v>
      </c>
      <c r="G112" s="74">
        <v>2085.71</v>
      </c>
      <c r="H112" s="74">
        <v>2085.71</v>
      </c>
      <c r="I112" s="74">
        <v>2085.71</v>
      </c>
      <c r="J112" s="74">
        <v>2085.71</v>
      </c>
      <c r="K112" s="74">
        <v>2085.71</v>
      </c>
      <c r="L112" s="74">
        <v>2085.71</v>
      </c>
      <c r="M112" s="74">
        <v>4871</v>
      </c>
      <c r="N112" s="58">
        <f t="shared" si="20"/>
        <v>27813.809999999994</v>
      </c>
      <c r="O112" s="26"/>
      <c r="P112" s="84">
        <v>24739</v>
      </c>
      <c r="Q112" s="26"/>
      <c r="R112" s="51"/>
      <c r="S112" s="67"/>
      <c r="T112" s="67"/>
    </row>
    <row r="113" spans="1:20" ht="16.2" x14ac:dyDescent="0.45">
      <c r="A113" s="30" t="s">
        <v>65</v>
      </c>
      <c r="B113" s="94">
        <f>SUM(B105:B112)</f>
        <v>84030.73000000001</v>
      </c>
      <c r="C113" s="101">
        <f t="shared" ref="C113:M113" si="21">SUM(C105:C112)</f>
        <v>78023.793000000005</v>
      </c>
      <c r="D113" s="101">
        <f t="shared" si="21"/>
        <v>86861.942999999999</v>
      </c>
      <c r="E113" s="101">
        <f t="shared" si="21"/>
        <v>97446.607000000004</v>
      </c>
      <c r="F113" s="101">
        <f t="shared" si="21"/>
        <v>88451.74549999999</v>
      </c>
      <c r="G113" s="101">
        <f t="shared" si="21"/>
        <v>98348.465500000006</v>
      </c>
      <c r="H113" s="101">
        <f t="shared" si="21"/>
        <v>101328.33799999999</v>
      </c>
      <c r="I113" s="101">
        <f t="shared" si="21"/>
        <v>95666.118000000017</v>
      </c>
      <c r="J113" s="101">
        <f t="shared" si="21"/>
        <v>99546.668499999985</v>
      </c>
      <c r="K113" s="101">
        <f t="shared" si="21"/>
        <v>96441.248500000002</v>
      </c>
      <c r="L113" s="101">
        <f t="shared" si="21"/>
        <v>88486.098500000007</v>
      </c>
      <c r="M113" s="101">
        <f t="shared" si="21"/>
        <v>97827.838499999983</v>
      </c>
      <c r="N113" s="93">
        <f t="shared" si="20"/>
        <v>1112459.594</v>
      </c>
      <c r="O113" s="26"/>
      <c r="P113" s="146">
        <f>SUM(P105+P108+P109+P110+P111+P112)</f>
        <v>962446.25999999989</v>
      </c>
      <c r="Q113" s="26"/>
      <c r="R113" s="51"/>
      <c r="S113" s="67"/>
      <c r="T113" s="67"/>
    </row>
    <row r="114" spans="1:20" ht="16.2" x14ac:dyDescent="0.45">
      <c r="A114" s="30"/>
      <c r="B114" s="47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76"/>
      <c r="O114" s="26"/>
      <c r="P114" s="73"/>
      <c r="Q114" s="26"/>
      <c r="R114" s="51"/>
      <c r="S114" s="67"/>
      <c r="T114" s="67"/>
    </row>
    <row r="115" spans="1:20" ht="15" x14ac:dyDescent="0.35">
      <c r="A115" s="30" t="s">
        <v>66</v>
      </c>
      <c r="B115" s="127">
        <f>(B30)-(B113)</f>
        <v>1091.5</v>
      </c>
      <c r="C115" s="172">
        <f t="shared" ref="C115:M115" si="22">(C30)-(C113)</f>
        <v>-29663.083000000006</v>
      </c>
      <c r="D115" s="172">
        <f t="shared" si="22"/>
        <v>-67501.233000000007</v>
      </c>
      <c r="E115" s="172">
        <f t="shared" si="22"/>
        <v>-7585.8970000000118</v>
      </c>
      <c r="F115" s="172">
        <f t="shared" si="22"/>
        <v>-39091.035499999991</v>
      </c>
      <c r="G115" s="172">
        <f t="shared" si="22"/>
        <v>-28987.755500000014</v>
      </c>
      <c r="H115" s="172">
        <f t="shared" si="22"/>
        <v>-64517.62799999999</v>
      </c>
      <c r="I115" s="172">
        <f t="shared" si="22"/>
        <v>-31305.408000000018</v>
      </c>
      <c r="J115" s="172">
        <f t="shared" si="22"/>
        <v>7315.5815000000148</v>
      </c>
      <c r="K115" s="172">
        <f t="shared" si="22"/>
        <v>-7080.5385000000097</v>
      </c>
      <c r="L115" s="172">
        <f t="shared" si="22"/>
        <v>15234.611499999985</v>
      </c>
      <c r="M115" s="172">
        <f t="shared" si="22"/>
        <v>188090.91150000002</v>
      </c>
      <c r="N115" s="93">
        <f t="shared" si="20"/>
        <v>-63999.974000000017</v>
      </c>
      <c r="O115" s="96"/>
      <c r="P115" s="95">
        <f>SUM(P30-P113)</f>
        <v>362753.11000000022</v>
      </c>
      <c r="Q115" s="26"/>
      <c r="R115" s="51"/>
      <c r="S115" s="67"/>
      <c r="T115" s="67"/>
    </row>
    <row r="116" spans="1:20" x14ac:dyDescent="0.3">
      <c r="A116" s="30"/>
      <c r="B116" s="34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26"/>
      <c r="P116" s="27"/>
      <c r="Q116" s="26"/>
      <c r="R116" s="51"/>
      <c r="S116" s="67"/>
      <c r="T116" s="67"/>
    </row>
    <row r="117" spans="1:20" x14ac:dyDescent="0.3">
      <c r="A117" s="30" t="s">
        <v>67</v>
      </c>
      <c r="B117" s="31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5">
        <f t="shared" ref="N117:N124" si="23">SUM(B117:M117)</f>
        <v>0</v>
      </c>
      <c r="O117" s="26"/>
      <c r="P117" s="27"/>
      <c r="Q117" s="26"/>
      <c r="R117" s="51"/>
      <c r="S117" s="81"/>
      <c r="T117" s="67"/>
    </row>
    <row r="118" spans="1:20" x14ac:dyDescent="0.3">
      <c r="A118" s="30" t="s">
        <v>68</v>
      </c>
      <c r="B118" s="33">
        <v>48.27</v>
      </c>
      <c r="C118" s="54">
        <v>0</v>
      </c>
      <c r="D118" s="54">
        <v>0</v>
      </c>
      <c r="E118" s="54">
        <v>555.54999999999995</v>
      </c>
      <c r="F118" s="54">
        <v>555.54999999999995</v>
      </c>
      <c r="G118" s="54">
        <v>555.54999999999995</v>
      </c>
      <c r="H118" s="54">
        <v>555.54999999999995</v>
      </c>
      <c r="I118" s="54">
        <v>555.54999999999995</v>
      </c>
      <c r="J118" s="54">
        <v>555.54999999999995</v>
      </c>
      <c r="K118" s="54">
        <v>555.54999999999995</v>
      </c>
      <c r="L118" s="54">
        <v>555.54999999999995</v>
      </c>
      <c r="M118" s="54">
        <v>555.54999999999995</v>
      </c>
      <c r="N118" s="55">
        <f t="shared" si="23"/>
        <v>5048.22</v>
      </c>
      <c r="O118" s="26"/>
      <c r="P118" s="27">
        <v>11568</v>
      </c>
      <c r="Q118" s="26"/>
      <c r="R118" s="51"/>
      <c r="S118" s="81"/>
      <c r="T118" s="67"/>
    </row>
    <row r="119" spans="1:20" x14ac:dyDescent="0.3">
      <c r="A119" s="30" t="s">
        <v>69</v>
      </c>
      <c r="B119" s="31"/>
      <c r="C119" s="54">
        <v>0</v>
      </c>
      <c r="D119" s="54"/>
      <c r="E119" s="53"/>
      <c r="F119" s="53"/>
      <c r="G119" s="53"/>
      <c r="H119" s="53"/>
      <c r="I119" s="54"/>
      <c r="J119" s="54"/>
      <c r="K119" s="53"/>
      <c r="L119" s="53"/>
      <c r="M119" s="54"/>
      <c r="N119" s="55">
        <f t="shared" si="23"/>
        <v>0</v>
      </c>
      <c r="O119" s="26"/>
      <c r="P119" s="82">
        <v>1898</v>
      </c>
      <c r="Q119" s="26"/>
      <c r="R119" s="51"/>
      <c r="S119" s="81"/>
      <c r="T119" s="67"/>
    </row>
    <row r="120" spans="1:20" x14ac:dyDescent="0.3">
      <c r="A120" s="30" t="s">
        <v>120</v>
      </c>
      <c r="B120" s="99">
        <v>-788.4</v>
      </c>
      <c r="C120" s="62"/>
      <c r="D120" s="62"/>
      <c r="E120" s="61"/>
      <c r="F120" s="61"/>
      <c r="G120" s="61"/>
      <c r="H120" s="61"/>
      <c r="I120" s="62"/>
      <c r="J120" s="62"/>
      <c r="K120" s="61"/>
      <c r="L120" s="61"/>
      <c r="M120" s="54"/>
      <c r="N120" s="100">
        <f t="shared" si="23"/>
        <v>-788.4</v>
      </c>
      <c r="O120" s="26"/>
      <c r="P120" s="82"/>
      <c r="Q120" s="26"/>
      <c r="R120" s="51"/>
      <c r="S120" s="81"/>
      <c r="T120" s="67"/>
    </row>
    <row r="121" spans="1:20" ht="16.2" x14ac:dyDescent="0.45">
      <c r="A121" s="30" t="s">
        <v>72</v>
      </c>
      <c r="B121" s="127">
        <f t="shared" ref="B121:M121" si="24">SUM(B118:B120)</f>
        <v>-740.13</v>
      </c>
      <c r="C121" s="128">
        <f t="shared" si="24"/>
        <v>0</v>
      </c>
      <c r="D121" s="128">
        <f t="shared" si="24"/>
        <v>0</v>
      </c>
      <c r="E121" s="128">
        <f t="shared" si="24"/>
        <v>555.54999999999995</v>
      </c>
      <c r="F121" s="128">
        <f t="shared" si="24"/>
        <v>555.54999999999995</v>
      </c>
      <c r="G121" s="128">
        <f t="shared" si="24"/>
        <v>555.54999999999995</v>
      </c>
      <c r="H121" s="128">
        <f t="shared" si="24"/>
        <v>555.54999999999995</v>
      </c>
      <c r="I121" s="128">
        <f t="shared" si="24"/>
        <v>555.54999999999995</v>
      </c>
      <c r="J121" s="128">
        <f t="shared" si="24"/>
        <v>555.54999999999995</v>
      </c>
      <c r="K121" s="128">
        <f t="shared" si="24"/>
        <v>555.54999999999995</v>
      </c>
      <c r="L121" s="128">
        <f t="shared" si="24"/>
        <v>555.54999999999995</v>
      </c>
      <c r="M121" s="101">
        <f t="shared" si="24"/>
        <v>555.54999999999995</v>
      </c>
      <c r="N121" s="134">
        <f t="shared" si="23"/>
        <v>4259.82</v>
      </c>
      <c r="O121" s="26"/>
      <c r="P121" s="73">
        <f>P118+P119</f>
        <v>13466</v>
      </c>
      <c r="Q121" s="26"/>
      <c r="R121" s="51"/>
      <c r="S121" s="81"/>
      <c r="T121" s="67"/>
    </row>
    <row r="122" spans="1:20" hidden="1" x14ac:dyDescent="0.3">
      <c r="A122" s="30" t="s">
        <v>73</v>
      </c>
      <c r="B122" s="47">
        <f t="shared" ref="B122:M122" si="25">(B121)-(0)</f>
        <v>-740.13</v>
      </c>
      <c r="C122" s="52">
        <f t="shared" si="25"/>
        <v>0</v>
      </c>
      <c r="D122" s="52">
        <f t="shared" si="25"/>
        <v>0</v>
      </c>
      <c r="E122" s="52">
        <f t="shared" si="25"/>
        <v>555.54999999999995</v>
      </c>
      <c r="F122" s="52">
        <f t="shared" si="25"/>
        <v>555.54999999999995</v>
      </c>
      <c r="G122" s="52">
        <f t="shared" si="25"/>
        <v>555.54999999999995</v>
      </c>
      <c r="H122" s="52">
        <f t="shared" si="25"/>
        <v>555.54999999999995</v>
      </c>
      <c r="I122" s="52">
        <f t="shared" si="25"/>
        <v>555.54999999999995</v>
      </c>
      <c r="J122" s="52">
        <f t="shared" si="25"/>
        <v>555.54999999999995</v>
      </c>
      <c r="K122" s="52">
        <f t="shared" si="25"/>
        <v>555.54999999999995</v>
      </c>
      <c r="L122" s="52">
        <f t="shared" si="25"/>
        <v>555.54999999999995</v>
      </c>
      <c r="M122" s="52">
        <f t="shared" si="25"/>
        <v>555.54999999999995</v>
      </c>
      <c r="N122" s="55">
        <f t="shared" si="23"/>
        <v>4259.82</v>
      </c>
      <c r="O122" s="26"/>
      <c r="P122" s="27"/>
      <c r="Q122" s="26"/>
      <c r="R122" s="51"/>
      <c r="S122" s="81"/>
      <c r="T122" s="67"/>
    </row>
    <row r="123" spans="1:20" x14ac:dyDescent="0.3">
      <c r="A123" s="30"/>
      <c r="B123" s="47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5">
        <f t="shared" si="23"/>
        <v>0</v>
      </c>
      <c r="O123" s="26"/>
      <c r="P123" s="27"/>
      <c r="Q123" s="26"/>
      <c r="R123" s="51"/>
      <c r="S123" s="81"/>
      <c r="T123" s="67"/>
    </row>
    <row r="124" spans="1:20" ht="15.6" thickBot="1" x14ac:dyDescent="0.4">
      <c r="A124" s="30" t="s">
        <v>74</v>
      </c>
      <c r="B124" s="131">
        <f t="shared" ref="B124:M124" si="26">(B115)+(B121)</f>
        <v>351.37</v>
      </c>
      <c r="C124" s="140">
        <f t="shared" si="26"/>
        <v>-29663.083000000006</v>
      </c>
      <c r="D124" s="140">
        <f t="shared" si="26"/>
        <v>-67501.233000000007</v>
      </c>
      <c r="E124" s="140">
        <f t="shared" si="26"/>
        <v>-7030.3470000000116</v>
      </c>
      <c r="F124" s="140">
        <f t="shared" si="26"/>
        <v>-38535.485499999988</v>
      </c>
      <c r="G124" s="140">
        <f t="shared" si="26"/>
        <v>-28432.205500000015</v>
      </c>
      <c r="H124" s="140">
        <f t="shared" si="26"/>
        <v>-63962.077999999987</v>
      </c>
      <c r="I124" s="140">
        <f t="shared" si="26"/>
        <v>-30749.858000000018</v>
      </c>
      <c r="J124" s="140">
        <f t="shared" si="26"/>
        <v>7871.131500000015</v>
      </c>
      <c r="K124" s="140">
        <f t="shared" si="26"/>
        <v>-6524.9885000000095</v>
      </c>
      <c r="L124" s="140">
        <f t="shared" si="26"/>
        <v>15790.161499999984</v>
      </c>
      <c r="M124" s="140">
        <f t="shared" si="26"/>
        <v>188646.4615</v>
      </c>
      <c r="N124" s="141">
        <f t="shared" si="23"/>
        <v>-59740.154000000068</v>
      </c>
      <c r="O124" s="96"/>
      <c r="P124" s="92">
        <f>(P115+P121)</f>
        <v>376219.11000000022</v>
      </c>
      <c r="Q124" s="26"/>
      <c r="R124" s="51"/>
      <c r="S124" s="81"/>
      <c r="T124" s="87"/>
    </row>
    <row r="125" spans="1:20" ht="15" thickTop="1" x14ac:dyDescent="0.3">
      <c r="A125" s="30"/>
      <c r="B125" s="32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9"/>
      <c r="O125" s="26"/>
      <c r="P125" s="27"/>
      <c r="Q125" s="26"/>
      <c r="R125" s="51"/>
      <c r="S125" s="91"/>
      <c r="T125" s="87"/>
    </row>
    <row r="126" spans="1:20" x14ac:dyDescent="0.3">
      <c r="A126" s="27"/>
      <c r="B126" s="27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26"/>
      <c r="P126" s="27"/>
      <c r="Q126" s="26"/>
      <c r="R126" s="51"/>
      <c r="S126" s="91"/>
      <c r="T126" s="87"/>
    </row>
    <row r="127" spans="1:20" x14ac:dyDescent="0.3">
      <c r="A127" s="27"/>
      <c r="B127" s="27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26"/>
      <c r="P127" s="27"/>
      <c r="Q127" s="26"/>
      <c r="R127" s="51"/>
      <c r="S127" s="91"/>
      <c r="T127" s="87"/>
    </row>
    <row r="128" spans="1:20" x14ac:dyDescent="0.3">
      <c r="A128" s="27"/>
      <c r="B128" s="27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26"/>
      <c r="P128" s="26"/>
      <c r="Q128" s="26"/>
      <c r="R128" s="51"/>
      <c r="S128" s="91"/>
      <c r="T128" s="87"/>
    </row>
    <row r="129" spans="2:20" x14ac:dyDescent="0.3">
      <c r="B129" s="15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66"/>
      <c r="O129" s="35"/>
      <c r="P129" s="35"/>
      <c r="Q129" s="35"/>
      <c r="R129" s="35"/>
      <c r="S129" s="51"/>
      <c r="T129" s="87"/>
    </row>
    <row r="130" spans="2:20" x14ac:dyDescent="0.3"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66"/>
      <c r="O130" s="35"/>
      <c r="P130" s="35"/>
      <c r="Q130" s="35"/>
      <c r="R130" s="35"/>
      <c r="S130" s="51"/>
      <c r="T130" s="87"/>
    </row>
    <row r="131" spans="2:20" x14ac:dyDescent="0.3"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3"/>
    </row>
    <row r="132" spans="2:20" x14ac:dyDescent="0.3">
      <c r="N132" s="27"/>
    </row>
    <row r="133" spans="2:20" x14ac:dyDescent="0.3">
      <c r="N133" s="27"/>
    </row>
    <row r="134" spans="2:20" x14ac:dyDescent="0.3">
      <c r="N134" s="27"/>
    </row>
    <row r="138" spans="2:20" x14ac:dyDescent="0.3">
      <c r="O138" s="36"/>
    </row>
  </sheetData>
  <mergeCells count="5">
    <mergeCell ref="A1:N1"/>
    <mergeCell ref="A2:N2"/>
    <mergeCell ref="A3:N3"/>
    <mergeCell ref="A5:N5"/>
    <mergeCell ref="A4:N4"/>
  </mergeCells>
  <printOptions horizontalCentered="1" gridLines="1"/>
  <pageMargins left="0.2" right="0.2" top="0.75" bottom="0.75" header="0.3" footer="0.3"/>
  <pageSetup scale="48" fitToHeight="0" orientation="landscape" r:id="rId1"/>
  <headerFooter>
    <oddHeader xml:space="preserve">&amp;L&amp;"-,Bold"&amp;12 4/23/23&amp;"-,Regular"&amp;11
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9A5BC1F96CB24E8FD2EDA807332508" ma:contentTypeVersion="17" ma:contentTypeDescription="Create a new document." ma:contentTypeScope="" ma:versionID="a32e930e6b7f22278184a172e03860a1">
  <xsd:schema xmlns:xsd="http://www.w3.org/2001/XMLSchema" xmlns:xs="http://www.w3.org/2001/XMLSchema" xmlns:p="http://schemas.microsoft.com/office/2006/metadata/properties" xmlns:ns2="bc5998f8-b7df-4d06-8bb6-82e3dfd32318" xmlns:ns3="63730af6-871e-414e-a5d7-7ac784bf4ed0" targetNamespace="http://schemas.microsoft.com/office/2006/metadata/properties" ma:root="true" ma:fieldsID="1cf35b89daab7e0317dab0ffad7fdf35" ns2:_="" ns3:_="">
    <xsd:import namespace="bc5998f8-b7df-4d06-8bb6-82e3dfd32318"/>
    <xsd:import namespace="63730af6-871e-414e-a5d7-7ac784bf4e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5998f8-b7df-4d06-8bb6-82e3dfd323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6258c241-0e6b-42db-97e5-3eba40b261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730af6-871e-414e-a5d7-7ac784bf4ed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52df6b4-f7eb-448a-8647-e6cb63955681}" ma:internalName="TaxCatchAll" ma:showField="CatchAllData" ma:web="63730af6-871e-414e-a5d7-7ac784bf4e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9CA3E0-04CD-43DF-AFFF-B6461AC1AB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0A315C-9AD2-4349-A890-55EBA06316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5998f8-b7df-4d06-8bb6-82e3dfd32318"/>
    <ds:schemaRef ds:uri="63730af6-871e-414e-a5d7-7ac784bf4e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Total Budget By Month</vt:lpstr>
      <vt:lpstr>Total Budget Summary</vt:lpstr>
      <vt:lpstr>'Total Budget By Month'!Print_Titles</vt:lpstr>
      <vt:lpstr>'Total Budget Summary'!Print_Titles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Jerry Mullarkey</dc:creator>
  <cp:keywords/>
  <dc:description/>
  <cp:lastModifiedBy>Nikki Johnson</cp:lastModifiedBy>
  <cp:revision/>
  <cp:lastPrinted>2024-03-11T20:53:05Z</cp:lastPrinted>
  <dcterms:created xsi:type="dcterms:W3CDTF">2023-04-24T03:26:08Z</dcterms:created>
  <dcterms:modified xsi:type="dcterms:W3CDTF">2024-03-19T23:00:08Z</dcterms:modified>
  <cp:category/>
  <cp:contentStatus/>
</cp:coreProperties>
</file>