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justacenter.sharepoint.com/sites/AccountingFinance/Shared Documents/2023 Accounting/Budgets/2023/"/>
    </mc:Choice>
  </mc:AlternateContent>
  <xr:revisionPtr revIDLastSave="2" documentId="8_{742A05EC-ECBD-49D6-B105-6E64CE67C6D7}" xr6:coauthVersionLast="47" xr6:coauthVersionMax="47" xr10:uidLastSave="{8D43C49E-467D-4AF6-9B55-1D020CC553B3}"/>
  <bookViews>
    <workbookView xWindow="-120" yWindow="-120" windowWidth="29040" windowHeight="15720" firstSheet="1" activeTab="1" xr2:uid="{00000000-000D-0000-FFFF-FFFF00000000}"/>
  </bookViews>
  <sheets>
    <sheet name="Total Budget By Month" sheetId="1" r:id="rId1"/>
    <sheet name="Total Budget Summary" sheetId="3" r:id="rId2"/>
  </sheets>
  <definedNames>
    <definedName name="_xlnm.Print_Titles" localSheetId="0">'Total Budget By Month'!$1:$5</definedName>
    <definedName name="_xlnm.Print_Titles" localSheetId="1">'Total Budget Summary'!$1:$8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5" i="3" l="1"/>
  <c r="R80" i="3" l="1"/>
  <c r="R28" i="3"/>
  <c r="R17" i="3"/>
  <c r="P77" i="3" l="1"/>
  <c r="P78" i="3" s="1"/>
  <c r="M77" i="3"/>
  <c r="M78" i="3" s="1"/>
  <c r="L77" i="3"/>
  <c r="L78" i="3" s="1"/>
  <c r="K77" i="3"/>
  <c r="K78" i="3" s="1"/>
  <c r="J77" i="3"/>
  <c r="J78" i="3" s="1"/>
  <c r="I77" i="3"/>
  <c r="I78" i="3" s="1"/>
  <c r="H77" i="3"/>
  <c r="H78" i="3" s="1"/>
  <c r="G77" i="3"/>
  <c r="G78" i="3" s="1"/>
  <c r="F77" i="3"/>
  <c r="F78" i="3" s="1"/>
  <c r="E77" i="3"/>
  <c r="E78" i="3" s="1"/>
  <c r="D77" i="3"/>
  <c r="D78" i="3" s="1"/>
  <c r="C77" i="3"/>
  <c r="C78" i="3" s="1"/>
  <c r="B77" i="3"/>
  <c r="O76" i="3"/>
  <c r="N76" i="3"/>
  <c r="O74" i="3"/>
  <c r="N74" i="3"/>
  <c r="O73" i="3"/>
  <c r="N73" i="3"/>
  <c r="P68" i="3"/>
  <c r="D68" i="3"/>
  <c r="B68" i="3"/>
  <c r="N67" i="3"/>
  <c r="N66" i="3"/>
  <c r="N65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M50" i="3"/>
  <c r="L50" i="3"/>
  <c r="K50" i="3"/>
  <c r="J50" i="3"/>
  <c r="H50" i="3"/>
  <c r="G50" i="3"/>
  <c r="F50" i="3"/>
  <c r="E50" i="3"/>
  <c r="N49" i="3"/>
  <c r="N48" i="3"/>
  <c r="N47" i="3"/>
  <c r="N46" i="3"/>
  <c r="N45" i="3"/>
  <c r="N44" i="3"/>
  <c r="C43" i="3"/>
  <c r="C68" i="3" s="1"/>
  <c r="N42" i="3"/>
  <c r="N41" i="3"/>
  <c r="N40" i="3"/>
  <c r="N39" i="3"/>
  <c r="N38" i="3"/>
  <c r="K37" i="3"/>
  <c r="F37" i="3"/>
  <c r="E37" i="3"/>
  <c r="N36" i="3"/>
  <c r="N35" i="3"/>
  <c r="M34" i="3"/>
  <c r="L34" i="3"/>
  <c r="K34" i="3"/>
  <c r="J34" i="3"/>
  <c r="I34" i="3"/>
  <c r="H34" i="3"/>
  <c r="G34" i="3"/>
  <c r="F34" i="3"/>
  <c r="E34" i="3"/>
  <c r="M33" i="3"/>
  <c r="L33" i="3"/>
  <c r="K33" i="3"/>
  <c r="J33" i="3"/>
  <c r="I33" i="3"/>
  <c r="H33" i="3"/>
  <c r="H68" i="3" s="1"/>
  <c r="G33" i="3"/>
  <c r="G68" i="3" s="1"/>
  <c r="F33" i="3"/>
  <c r="E33" i="3"/>
  <c r="N32" i="3"/>
  <c r="N31" i="3"/>
  <c r="P28" i="3"/>
  <c r="D28" i="3"/>
  <c r="C28" i="3"/>
  <c r="B28" i="3"/>
  <c r="M27" i="3"/>
  <c r="L27" i="3"/>
  <c r="K27" i="3"/>
  <c r="J27" i="3"/>
  <c r="I27" i="3"/>
  <c r="H27" i="3"/>
  <c r="G27" i="3"/>
  <c r="F27" i="3"/>
  <c r="E27" i="3"/>
  <c r="M26" i="3"/>
  <c r="L26" i="3"/>
  <c r="K26" i="3"/>
  <c r="J26" i="3"/>
  <c r="I26" i="3"/>
  <c r="H26" i="3"/>
  <c r="G26" i="3"/>
  <c r="F26" i="3"/>
  <c r="E26" i="3"/>
  <c r="M25" i="3"/>
  <c r="L25" i="3"/>
  <c r="K25" i="3"/>
  <c r="J25" i="3"/>
  <c r="I25" i="3"/>
  <c r="H25" i="3"/>
  <c r="G25" i="3"/>
  <c r="F25" i="3"/>
  <c r="E25" i="3"/>
  <c r="M24" i="3"/>
  <c r="L24" i="3"/>
  <c r="K24" i="3"/>
  <c r="J24" i="3"/>
  <c r="I24" i="3"/>
  <c r="H24" i="3"/>
  <c r="G24" i="3"/>
  <c r="F24" i="3"/>
  <c r="E24" i="3"/>
  <c r="M22" i="3"/>
  <c r="L22" i="3"/>
  <c r="K22" i="3"/>
  <c r="J22" i="3"/>
  <c r="I22" i="3"/>
  <c r="H22" i="3"/>
  <c r="G22" i="3"/>
  <c r="F22" i="3"/>
  <c r="E22" i="3"/>
  <c r="N21" i="3"/>
  <c r="P17" i="3"/>
  <c r="P18" i="3" s="1"/>
  <c r="M17" i="3"/>
  <c r="L17" i="3"/>
  <c r="L18" i="3" s="1"/>
  <c r="K17" i="3"/>
  <c r="J17" i="3"/>
  <c r="J18" i="3" s="1"/>
  <c r="I17" i="3"/>
  <c r="I18" i="3" s="1"/>
  <c r="H17" i="3"/>
  <c r="H18" i="3" s="1"/>
  <c r="G17" i="3"/>
  <c r="G18" i="3" s="1"/>
  <c r="F17" i="3"/>
  <c r="F18" i="3" s="1"/>
  <c r="E17" i="3"/>
  <c r="D17" i="3"/>
  <c r="C17" i="3"/>
  <c r="N16" i="3"/>
  <c r="N15" i="3"/>
  <c r="N14" i="3"/>
  <c r="N13" i="3"/>
  <c r="N12" i="3"/>
  <c r="B11" i="3"/>
  <c r="N11" i="3" s="1"/>
  <c r="N10" i="3"/>
  <c r="N53" i="1"/>
  <c r="K68" i="3" l="1"/>
  <c r="E28" i="3"/>
  <c r="M28" i="3"/>
  <c r="J68" i="3"/>
  <c r="N50" i="3"/>
  <c r="B69" i="3"/>
  <c r="I68" i="3"/>
  <c r="N43" i="3"/>
  <c r="D69" i="3"/>
  <c r="D70" i="3" s="1"/>
  <c r="D80" i="3" s="1"/>
  <c r="G28" i="3"/>
  <c r="E68" i="3"/>
  <c r="E69" i="3" s="1"/>
  <c r="E70" i="3" s="1"/>
  <c r="E80" i="3" s="1"/>
  <c r="M68" i="3"/>
  <c r="M69" i="3" s="1"/>
  <c r="M70" i="3" s="1"/>
  <c r="M80" i="3" s="1"/>
  <c r="F28" i="3"/>
  <c r="B17" i="3"/>
  <c r="O17" i="3" s="1"/>
  <c r="N24" i="3"/>
  <c r="N25" i="3"/>
  <c r="L68" i="3"/>
  <c r="L69" i="3" s="1"/>
  <c r="L70" i="3" s="1"/>
  <c r="L80" i="3" s="1"/>
  <c r="O77" i="3"/>
  <c r="N26" i="3"/>
  <c r="N27" i="3"/>
  <c r="F68" i="3"/>
  <c r="F69" i="3" s="1"/>
  <c r="F70" i="3" s="1"/>
  <c r="F80" i="3" s="1"/>
  <c r="N34" i="3"/>
  <c r="P69" i="3"/>
  <c r="P70" i="3" s="1"/>
  <c r="P80" i="3" s="1"/>
  <c r="J28" i="3"/>
  <c r="J69" i="3" s="1"/>
  <c r="J70" i="3" s="1"/>
  <c r="J80" i="3" s="1"/>
  <c r="I28" i="3"/>
  <c r="I69" i="3" s="1"/>
  <c r="I70" i="3" s="1"/>
  <c r="I80" i="3" s="1"/>
  <c r="K28" i="3"/>
  <c r="K69" i="3" s="1"/>
  <c r="K70" i="3" s="1"/>
  <c r="K80" i="3" s="1"/>
  <c r="H28" i="3"/>
  <c r="L28" i="3"/>
  <c r="N37" i="3"/>
  <c r="N77" i="3"/>
  <c r="G69" i="3"/>
  <c r="G70" i="3" s="1"/>
  <c r="G80" i="3" s="1"/>
  <c r="C69" i="3"/>
  <c r="N17" i="3"/>
  <c r="B18" i="3"/>
  <c r="B78" i="3"/>
  <c r="N78" i="3" s="1"/>
  <c r="K18" i="3"/>
  <c r="N33" i="3"/>
  <c r="C18" i="3"/>
  <c r="N22" i="3"/>
  <c r="D18" i="3"/>
  <c r="E18" i="3"/>
  <c r="M18" i="3"/>
  <c r="P74" i="1"/>
  <c r="P75" i="1" s="1"/>
  <c r="M74" i="1"/>
  <c r="M75" i="1" s="1"/>
  <c r="L74" i="1"/>
  <c r="L75" i="1" s="1"/>
  <c r="K74" i="1"/>
  <c r="K75" i="1" s="1"/>
  <c r="J74" i="1"/>
  <c r="J75" i="1" s="1"/>
  <c r="I74" i="1"/>
  <c r="I75" i="1" s="1"/>
  <c r="H74" i="1"/>
  <c r="H75" i="1" s="1"/>
  <c r="G74" i="1"/>
  <c r="G75" i="1" s="1"/>
  <c r="F74" i="1"/>
  <c r="F75" i="1" s="1"/>
  <c r="E74" i="1"/>
  <c r="E75" i="1" s="1"/>
  <c r="D74" i="1"/>
  <c r="D75" i="1" s="1"/>
  <c r="C74" i="1"/>
  <c r="C75" i="1" s="1"/>
  <c r="B74" i="1"/>
  <c r="B75" i="1" s="1"/>
  <c r="O73" i="1"/>
  <c r="N73" i="1"/>
  <c r="O71" i="1"/>
  <c r="N71" i="1"/>
  <c r="O70" i="1"/>
  <c r="N70" i="1"/>
  <c r="P65" i="1"/>
  <c r="P66" i="1" s="1"/>
  <c r="D65" i="1"/>
  <c r="B65" i="1"/>
  <c r="N64" i="1"/>
  <c r="N63" i="1"/>
  <c r="N62" i="1"/>
  <c r="N60" i="1"/>
  <c r="N59" i="1"/>
  <c r="N58" i="1"/>
  <c r="N57" i="1"/>
  <c r="N56" i="1"/>
  <c r="N55" i="1"/>
  <c r="N54" i="1"/>
  <c r="N52" i="1"/>
  <c r="N51" i="1"/>
  <c r="N50" i="1"/>
  <c r="N49" i="1"/>
  <c r="N48" i="1"/>
  <c r="M47" i="1"/>
  <c r="L47" i="1"/>
  <c r="K47" i="1"/>
  <c r="J47" i="1"/>
  <c r="H47" i="1"/>
  <c r="G47" i="1"/>
  <c r="F47" i="1"/>
  <c r="E47" i="1"/>
  <c r="N46" i="1"/>
  <c r="N45" i="1"/>
  <c r="N44" i="1"/>
  <c r="N43" i="1"/>
  <c r="N42" i="1"/>
  <c r="N41" i="1"/>
  <c r="C40" i="1"/>
  <c r="C65" i="1" s="1"/>
  <c r="N39" i="1"/>
  <c r="N38" i="1"/>
  <c r="N37" i="1"/>
  <c r="N36" i="1"/>
  <c r="N35" i="1"/>
  <c r="K34" i="1"/>
  <c r="F34" i="1"/>
  <c r="E34" i="1"/>
  <c r="N33" i="1"/>
  <c r="N32" i="1"/>
  <c r="M31" i="1"/>
  <c r="L31" i="1"/>
  <c r="K31" i="1"/>
  <c r="J31" i="1"/>
  <c r="I31" i="1"/>
  <c r="H31" i="1"/>
  <c r="G31" i="1"/>
  <c r="F31" i="1"/>
  <c r="E31" i="1"/>
  <c r="M30" i="1"/>
  <c r="M65" i="1" s="1"/>
  <c r="L30" i="1"/>
  <c r="K30" i="1"/>
  <c r="J30" i="1"/>
  <c r="I30" i="1"/>
  <c r="H30" i="1"/>
  <c r="G30" i="1"/>
  <c r="F30" i="1"/>
  <c r="E30" i="1"/>
  <c r="N29" i="1"/>
  <c r="N28" i="1"/>
  <c r="P25" i="1"/>
  <c r="D25" i="1"/>
  <c r="C25" i="1"/>
  <c r="B25" i="1"/>
  <c r="M24" i="1"/>
  <c r="L24" i="1"/>
  <c r="K24" i="1"/>
  <c r="J24" i="1"/>
  <c r="I24" i="1"/>
  <c r="H24" i="1"/>
  <c r="G24" i="1"/>
  <c r="F24" i="1"/>
  <c r="E24" i="1"/>
  <c r="M23" i="1"/>
  <c r="L23" i="1"/>
  <c r="K23" i="1"/>
  <c r="J23" i="1"/>
  <c r="I23" i="1"/>
  <c r="H23" i="1"/>
  <c r="G23" i="1"/>
  <c r="F23" i="1"/>
  <c r="E23" i="1"/>
  <c r="M22" i="1"/>
  <c r="L22" i="1"/>
  <c r="K22" i="1"/>
  <c r="J22" i="1"/>
  <c r="I22" i="1"/>
  <c r="H22" i="1"/>
  <c r="G22" i="1"/>
  <c r="F22" i="1"/>
  <c r="E22" i="1"/>
  <c r="M21" i="1"/>
  <c r="L21" i="1"/>
  <c r="K21" i="1"/>
  <c r="J21" i="1"/>
  <c r="I21" i="1"/>
  <c r="H21" i="1"/>
  <c r="G21" i="1"/>
  <c r="F21" i="1"/>
  <c r="E21" i="1"/>
  <c r="M19" i="1"/>
  <c r="L19" i="1"/>
  <c r="K19" i="1"/>
  <c r="J19" i="1"/>
  <c r="I19" i="1"/>
  <c r="H19" i="1"/>
  <c r="G19" i="1"/>
  <c r="F19" i="1"/>
  <c r="E19" i="1"/>
  <c r="N18" i="1"/>
  <c r="L15" i="1"/>
  <c r="H15" i="1"/>
  <c r="P14" i="1"/>
  <c r="P15" i="1" s="1"/>
  <c r="M14" i="1"/>
  <c r="M15" i="1" s="1"/>
  <c r="L14" i="1"/>
  <c r="K14" i="1"/>
  <c r="K15" i="1" s="1"/>
  <c r="J14" i="1"/>
  <c r="I14" i="1"/>
  <c r="I15" i="1" s="1"/>
  <c r="H14" i="1"/>
  <c r="G14" i="1"/>
  <c r="G15" i="1" s="1"/>
  <c r="F14" i="1"/>
  <c r="F15" i="1" s="1"/>
  <c r="E14" i="1"/>
  <c r="E15" i="1" s="1"/>
  <c r="D14" i="1"/>
  <c r="D15" i="1" s="1"/>
  <c r="C14" i="1"/>
  <c r="C15" i="1" s="1"/>
  <c r="B14" i="1"/>
  <c r="N13" i="1"/>
  <c r="N12" i="1"/>
  <c r="N11" i="1"/>
  <c r="N10" i="1"/>
  <c r="N9" i="1"/>
  <c r="B8" i="1"/>
  <c r="N8" i="1" s="1"/>
  <c r="N7" i="1"/>
  <c r="L25" i="1" l="1"/>
  <c r="I65" i="1"/>
  <c r="N34" i="1"/>
  <c r="K25" i="1"/>
  <c r="H65" i="1"/>
  <c r="J65" i="1"/>
  <c r="E65" i="1"/>
  <c r="G25" i="1"/>
  <c r="N23" i="1"/>
  <c r="F65" i="1"/>
  <c r="B70" i="3"/>
  <c r="B80" i="3" s="1"/>
  <c r="O28" i="3"/>
  <c r="H69" i="3"/>
  <c r="H70" i="3" s="1"/>
  <c r="H80" i="3" s="1"/>
  <c r="N68" i="3"/>
  <c r="O68" i="3"/>
  <c r="N28" i="3"/>
  <c r="C70" i="3"/>
  <c r="C80" i="3" s="1"/>
  <c r="N18" i="3"/>
  <c r="N24" i="1"/>
  <c r="G65" i="1"/>
  <c r="J25" i="1"/>
  <c r="N47" i="1"/>
  <c r="P67" i="1"/>
  <c r="P77" i="1" s="1"/>
  <c r="F25" i="1"/>
  <c r="E25" i="1"/>
  <c r="M25" i="1"/>
  <c r="M66" i="1" s="1"/>
  <c r="M67" i="1" s="1"/>
  <c r="M77" i="1" s="1"/>
  <c r="N31" i="1"/>
  <c r="K65" i="1"/>
  <c r="K66" i="1" s="1"/>
  <c r="K67" i="1" s="1"/>
  <c r="K77" i="1" s="1"/>
  <c r="J66" i="1"/>
  <c r="J67" i="1" s="1"/>
  <c r="J77" i="1" s="1"/>
  <c r="N74" i="1"/>
  <c r="N22" i="1"/>
  <c r="I25" i="1"/>
  <c r="I66" i="1" s="1"/>
  <c r="I67" i="1" s="1"/>
  <c r="I77" i="1" s="1"/>
  <c r="D66" i="1"/>
  <c r="D67" i="1" s="1"/>
  <c r="D77" i="1" s="1"/>
  <c r="H25" i="1"/>
  <c r="L65" i="1"/>
  <c r="L66" i="1" s="1"/>
  <c r="L67" i="1" s="1"/>
  <c r="L77" i="1" s="1"/>
  <c r="N14" i="1"/>
  <c r="H66" i="1"/>
  <c r="H67" i="1" s="1"/>
  <c r="H77" i="1" s="1"/>
  <c r="C66" i="1"/>
  <c r="C67" i="1" s="1"/>
  <c r="C77" i="1" s="1"/>
  <c r="N75" i="1"/>
  <c r="B15" i="1"/>
  <c r="J15" i="1"/>
  <c r="N19" i="1"/>
  <c r="B66" i="1"/>
  <c r="O14" i="1"/>
  <c r="N21" i="1"/>
  <c r="N40" i="1"/>
  <c r="O74" i="1"/>
  <c r="N30" i="1"/>
  <c r="F66" i="1" l="1"/>
  <c r="F67" i="1" s="1"/>
  <c r="F77" i="1" s="1"/>
  <c r="G66" i="1"/>
  <c r="G67" i="1" s="1"/>
  <c r="G77" i="1" s="1"/>
  <c r="N65" i="1"/>
  <c r="O69" i="3"/>
  <c r="O25" i="1"/>
  <c r="N69" i="3"/>
  <c r="O70" i="3"/>
  <c r="O80" i="3"/>
  <c r="N70" i="3"/>
  <c r="E66" i="1"/>
  <c r="E67" i="1" s="1"/>
  <c r="E77" i="1" s="1"/>
  <c r="O65" i="1"/>
  <c r="N25" i="1"/>
  <c r="N66" i="1" s="1"/>
  <c r="B67" i="1"/>
  <c r="N15" i="1"/>
  <c r="O66" i="1" l="1"/>
  <c r="N80" i="3"/>
  <c r="N67" i="1"/>
  <c r="N77" i="1" s="1"/>
  <c r="O67" i="1"/>
  <c r="B77" i="1"/>
  <c r="O77" i="1" s="1"/>
</calcChain>
</file>

<file path=xl/sharedStrings.xml><?xml version="1.0" encoding="utf-8"?>
<sst xmlns="http://schemas.openxmlformats.org/spreadsheetml/2006/main" count="153" uniqueCount="77">
  <si>
    <t>Justa Center</t>
  </si>
  <si>
    <t>2023 Budget Worksheet</t>
  </si>
  <si>
    <t>Revenue</t>
  </si>
  <si>
    <t>ACTUAL</t>
  </si>
  <si>
    <t>Total 2023 Budget</t>
  </si>
  <si>
    <t>2022 Actual</t>
  </si>
  <si>
    <t xml:space="preserve">   4000 Donations - Unrestricted</t>
  </si>
  <si>
    <t xml:space="preserve">   4100 Donations - Donor Restricted/Designated</t>
  </si>
  <si>
    <t>.</t>
  </si>
  <si>
    <t xml:space="preserve">   4200 Grants Funded</t>
  </si>
  <si>
    <t xml:space="preserve">   4210 Grants Reimbursed</t>
  </si>
  <si>
    <t xml:space="preserve">   4400 Special Events Income</t>
  </si>
  <si>
    <t xml:space="preserve">   4900 Billable Expenditure Revenue</t>
  </si>
  <si>
    <t xml:space="preserve">   4905 Member Locker Rental Income</t>
  </si>
  <si>
    <t>Total Revenue</t>
  </si>
  <si>
    <t>GROSS REVENUE</t>
  </si>
  <si>
    <t>Expenditures - Payroll</t>
  </si>
  <si>
    <t xml:space="preserve">   7300 Personnel Expenses</t>
  </si>
  <si>
    <t xml:space="preserve">      7305 Salaries &amp; Wages</t>
  </si>
  <si>
    <t xml:space="preserve">      7310 Taxes - Payroll</t>
  </si>
  <si>
    <t xml:space="preserve">      7315 Employee Benefits</t>
  </si>
  <si>
    <t xml:space="preserve">         7316 Retirement Contributions</t>
  </si>
  <si>
    <t xml:space="preserve">         7317 Employee Insurance Expense</t>
  </si>
  <si>
    <t xml:space="preserve">      7320 Workers Compensation Insurance</t>
  </si>
  <si>
    <t xml:space="preserve">      7330 Payroll Service Fee</t>
  </si>
  <si>
    <t xml:space="preserve">   Total 7300 PAYROLL EXPENSE</t>
  </si>
  <si>
    <t>Expenditures - Operating Expense</t>
  </si>
  <si>
    <t xml:space="preserve">      5005 Financial Assistance</t>
  </si>
  <si>
    <t xml:space="preserve">      5010 ID &amp; Documentation Expenses</t>
  </si>
  <si>
    <t xml:space="preserve">      5015 Meals &amp; Food Service</t>
  </si>
  <si>
    <t xml:space="preserve">      5016 Hygiene &amp; Health</t>
  </si>
  <si>
    <t xml:space="preserve">      5017 Rent &amp; Utility Assistance</t>
  </si>
  <si>
    <t xml:space="preserve">      5018 Member Transportation</t>
  </si>
  <si>
    <t xml:space="preserve">   5020 Home Starter Kits</t>
  </si>
  <si>
    <t xml:space="preserve">      5025 Furniture, non-capital</t>
  </si>
  <si>
    <t xml:space="preserve">   5090 Volunteer Programs</t>
  </si>
  <si>
    <t xml:space="preserve">   5100 Supplies</t>
  </si>
  <si>
    <t xml:space="preserve">   5105 Printing</t>
  </si>
  <si>
    <t xml:space="preserve">   5200 Storage Rental</t>
  </si>
  <si>
    <t xml:space="preserve">      5305 Property Lease</t>
  </si>
  <si>
    <t xml:space="preserve">      5310 Pest Control</t>
  </si>
  <si>
    <t xml:space="preserve">      5315 Utilities</t>
  </si>
  <si>
    <t xml:space="preserve">      5317 Trash Services</t>
  </si>
  <si>
    <t xml:space="preserve">      5320 Facilities Repairs &amp; Maintenance</t>
  </si>
  <si>
    <t xml:space="preserve">      5325 Internet &amp; Telephone</t>
  </si>
  <si>
    <t xml:space="preserve">   5500 Equipment &amp; Maintenance</t>
  </si>
  <si>
    <t xml:space="preserve">      5605 Fuel</t>
  </si>
  <si>
    <t xml:space="preserve">      5610 Vehicle Repairs &amp; Maintenance</t>
  </si>
  <si>
    <t xml:space="preserve">      5615 Vehicle License</t>
  </si>
  <si>
    <t xml:space="preserve">      5705 Accounting</t>
  </si>
  <si>
    <t xml:space="preserve">      5710 IT Services</t>
  </si>
  <si>
    <t xml:space="preserve">      5715 Legal Fees</t>
  </si>
  <si>
    <t xml:space="preserve">   5720 Grant Writing</t>
  </si>
  <si>
    <t xml:space="preserve">   5725 Security</t>
  </si>
  <si>
    <t xml:space="preserve">   5800 Bank Fees</t>
  </si>
  <si>
    <t xml:space="preserve">   5850 Dues &amp; Subscriptions</t>
  </si>
  <si>
    <t xml:space="preserve">   5900 Education &amp; Training</t>
  </si>
  <si>
    <t xml:space="preserve">   6000 Insurance</t>
  </si>
  <si>
    <t xml:space="preserve">      6105 Hardware</t>
  </si>
  <si>
    <t xml:space="preserve">      6110 Software &amp; SAAS</t>
  </si>
  <si>
    <t xml:space="preserve">   7000 - Special Event Expense</t>
  </si>
  <si>
    <t xml:space="preserve">   7100 Postage &amp; Direct Mail</t>
  </si>
  <si>
    <t xml:space="preserve">   7200 Promotion &amp; Advertising</t>
  </si>
  <si>
    <t xml:space="preserve">   7800 Other Misc Cost</t>
  </si>
  <si>
    <t>Total OPERATING EXPENSE</t>
  </si>
  <si>
    <t>TOTAL EXPENDITURES</t>
  </si>
  <si>
    <t>NET OPERATING INCOME</t>
  </si>
  <si>
    <t>Other Revenue (Expense)</t>
  </si>
  <si>
    <t xml:space="preserve">   8000 Interest Income</t>
  </si>
  <si>
    <t xml:space="preserve">   8001 Gains/(Losses) on Investments</t>
  </si>
  <si>
    <t>8100 In-Kind Revenue - Goods</t>
  </si>
  <si>
    <t xml:space="preserve">   9000 Depreciation Expense</t>
  </si>
  <si>
    <t>Total Other Revenue (Expense)</t>
  </si>
  <si>
    <t>Total Other</t>
  </si>
  <si>
    <t>NET INCOME</t>
  </si>
  <si>
    <t>2023 Final Budget</t>
  </si>
  <si>
    <t>2023 Final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</si>
</sst>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17" fontId="4" fillId="2" borderId="2" xfId="0" applyNumberFormat="1" applyFont="1" applyFill="1" applyBorder="1" applyAlignment="1">
      <alignment horizontal="center" wrapText="1"/>
    </xf>
    <xf numFmtId="17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0" borderId="0" xfId="0" applyNumberFormat="1" applyFont="1" applyAlignment="1">
      <alignment wrapText="1"/>
    </xf>
    <xf numFmtId="6" fontId="5" fillId="0" borderId="0" xfId="0" applyNumberFormat="1" applyFont="1" applyAlignment="1">
      <alignment horizontal="left" wrapText="1"/>
    </xf>
    <xf numFmtId="6" fontId="6" fillId="2" borderId="0" xfId="0" applyNumberFormat="1" applyFont="1" applyFill="1" applyAlignment="1">
      <alignment horizontal="right" wrapText="1"/>
    </xf>
    <xf numFmtId="6" fontId="6" fillId="0" borderId="0" xfId="0" applyNumberFormat="1" applyFont="1" applyAlignment="1">
      <alignment horizontal="right" wrapText="1"/>
    </xf>
    <xf numFmtId="6" fontId="6" fillId="0" borderId="0" xfId="0" applyNumberFormat="1" applyFont="1" applyAlignment="1">
      <alignment wrapText="1"/>
    </xf>
    <xf numFmtId="6" fontId="6" fillId="2" borderId="0" xfId="0" applyNumberFormat="1" applyFont="1" applyFill="1" applyAlignment="1">
      <alignment wrapText="1"/>
    </xf>
    <xf numFmtId="6" fontId="5" fillId="2" borderId="3" xfId="0" applyNumberFormat="1" applyFont="1" applyFill="1" applyBorder="1" applyAlignment="1">
      <alignment horizontal="right" wrapText="1"/>
    </xf>
    <xf numFmtId="6" fontId="5" fillId="0" borderId="3" xfId="0" applyNumberFormat="1" applyFont="1" applyBorder="1" applyAlignment="1">
      <alignment horizontal="right" wrapText="1"/>
    </xf>
    <xf numFmtId="8" fontId="0" fillId="0" borderId="0" xfId="0" applyNumberFormat="1"/>
    <xf numFmtId="8" fontId="6" fillId="2" borderId="0" xfId="0" applyNumberFormat="1" applyFont="1" applyFill="1" applyAlignment="1">
      <alignment wrapText="1"/>
    </xf>
    <xf numFmtId="8" fontId="6" fillId="0" borderId="0" xfId="0" applyNumberFormat="1" applyFont="1" applyAlignment="1">
      <alignment wrapText="1"/>
    </xf>
    <xf numFmtId="8" fontId="6" fillId="2" borderId="4" xfId="0" applyNumberFormat="1" applyFont="1" applyFill="1" applyBorder="1" applyAlignment="1">
      <alignment wrapText="1"/>
    </xf>
    <xf numFmtId="8" fontId="6" fillId="0" borderId="4" xfId="0" applyNumberFormat="1" applyFont="1" applyBorder="1" applyAlignment="1">
      <alignment wrapText="1"/>
    </xf>
    <xf numFmtId="8" fontId="6" fillId="2" borderId="0" xfId="0" applyNumberFormat="1" applyFont="1" applyFill="1" applyAlignment="1">
      <alignment horizontal="right" wrapText="1"/>
    </xf>
    <xf numFmtId="8" fontId="6" fillId="0" borderId="0" xfId="0" applyNumberFormat="1" applyFont="1" applyAlignment="1">
      <alignment horizontal="right" wrapText="1"/>
    </xf>
    <xf numFmtId="8" fontId="5" fillId="2" borderId="3" xfId="0" applyNumberFormat="1" applyFont="1" applyFill="1" applyBorder="1" applyAlignment="1">
      <alignment horizontal="right" wrapText="1"/>
    </xf>
    <xf numFmtId="8" fontId="5" fillId="0" borderId="3" xfId="0" applyNumberFormat="1" applyFont="1" applyBorder="1" applyAlignment="1">
      <alignment horizontal="right" wrapText="1"/>
    </xf>
    <xf numFmtId="8" fontId="5" fillId="2" borderId="0" xfId="0" applyNumberFormat="1" applyFont="1" applyFill="1" applyAlignment="1">
      <alignment horizontal="right" wrapText="1"/>
    </xf>
    <xf numFmtId="8" fontId="5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6" fontId="0" fillId="0" borderId="0" xfId="0" applyNumberFormat="1"/>
    <xf numFmtId="6" fontId="0" fillId="3" borderId="0" xfId="0" applyNumberFormat="1" applyFill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8" fontId="5" fillId="4" borderId="3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workbookViewId="0">
      <selection activeCell="A3" sqref="A3:N3"/>
    </sheetView>
  </sheetViews>
  <sheetFormatPr defaultRowHeight="14.4" x14ac:dyDescent="0.3"/>
  <cols>
    <col min="1" max="1" width="41.33203125" customWidth="1"/>
    <col min="2" max="2" width="10.33203125" customWidth="1"/>
    <col min="3" max="3" width="11.33203125" customWidth="1"/>
    <col min="4" max="4" width="10.33203125" customWidth="1"/>
    <col min="5" max="5" width="11.33203125" customWidth="1"/>
    <col min="6" max="6" width="9.44140625" customWidth="1"/>
    <col min="7" max="8" width="11.33203125" customWidth="1"/>
    <col min="9" max="9" width="10.33203125" customWidth="1"/>
    <col min="10" max="10" width="11.33203125" customWidth="1"/>
    <col min="11" max="12" width="9.44140625" customWidth="1"/>
    <col min="13" max="13" width="10.33203125" customWidth="1"/>
    <col min="14" max="14" width="11.109375" customWidth="1"/>
    <col min="15" max="15" width="13.109375" hidden="1" customWidth="1"/>
    <col min="16" max="16" width="10.33203125" customWidth="1"/>
  </cols>
  <sheetData>
    <row r="1" spans="1:16" ht="17.399999999999999" x14ac:dyDescent="0.3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6" ht="17.399999999999999" x14ac:dyDescent="0.3">
      <c r="A2" s="29" t="s">
        <v>75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6" x14ac:dyDescent="0.3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ht="15" thickBot="1" x14ac:dyDescent="0.35">
      <c r="B4" s="32" t="s">
        <v>3</v>
      </c>
      <c r="C4" s="32"/>
      <c r="D4" s="32"/>
    </row>
    <row r="5" spans="1:16" ht="24.6" x14ac:dyDescent="0.3">
      <c r="A5" s="1"/>
      <c r="B5" s="2">
        <v>44927</v>
      </c>
      <c r="C5" s="2">
        <v>44958</v>
      </c>
      <c r="D5" s="2">
        <v>44986</v>
      </c>
      <c r="E5" s="3">
        <v>45017</v>
      </c>
      <c r="F5" s="3">
        <v>45047</v>
      </c>
      <c r="G5" s="3">
        <v>45078</v>
      </c>
      <c r="H5" s="3">
        <v>45108</v>
      </c>
      <c r="I5" s="3">
        <v>45139</v>
      </c>
      <c r="J5" s="3">
        <v>45170</v>
      </c>
      <c r="K5" s="3">
        <v>45200</v>
      </c>
      <c r="L5" s="3">
        <v>45231</v>
      </c>
      <c r="M5" s="3">
        <v>45261</v>
      </c>
      <c r="N5" s="4" t="s">
        <v>4</v>
      </c>
      <c r="P5" s="3" t="s">
        <v>5</v>
      </c>
    </row>
    <row r="6" spans="1:16" x14ac:dyDescent="0.3">
      <c r="A6" s="5" t="s">
        <v>2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P6" s="7"/>
    </row>
    <row r="7" spans="1:16" x14ac:dyDescent="0.3">
      <c r="A7" s="8" t="s">
        <v>6</v>
      </c>
      <c r="B7" s="9">
        <v>74753.19</v>
      </c>
      <c r="C7" s="9">
        <v>707639.26</v>
      </c>
      <c r="D7" s="9">
        <v>14153.64</v>
      </c>
      <c r="E7" s="10">
        <v>20285</v>
      </c>
      <c r="F7" s="10">
        <v>20285</v>
      </c>
      <c r="G7" s="10">
        <v>20285</v>
      </c>
      <c r="H7" s="10">
        <v>20296</v>
      </c>
      <c r="I7" s="10">
        <v>23372</v>
      </c>
      <c r="J7" s="10">
        <v>24345</v>
      </c>
      <c r="K7" s="10">
        <v>28403</v>
      </c>
      <c r="L7" s="10">
        <v>29215</v>
      </c>
      <c r="M7" s="10">
        <v>56968</v>
      </c>
      <c r="N7" s="10">
        <f>SUM(B7:M7)</f>
        <v>1040000.09</v>
      </c>
      <c r="P7" s="10">
        <v>503555.78</v>
      </c>
    </row>
    <row r="8" spans="1:16" x14ac:dyDescent="0.3">
      <c r="A8" s="8" t="s">
        <v>7</v>
      </c>
      <c r="B8" s="9">
        <f>0</f>
        <v>0</v>
      </c>
      <c r="C8" s="9">
        <v>540</v>
      </c>
      <c r="D8" s="9"/>
      <c r="E8" s="10">
        <v>0</v>
      </c>
      <c r="F8" s="11">
        <v>0</v>
      </c>
      <c r="G8" s="10">
        <v>9460</v>
      </c>
      <c r="H8" s="10">
        <v>0</v>
      </c>
      <c r="I8" s="10">
        <v>0</v>
      </c>
      <c r="J8" s="10">
        <v>10000</v>
      </c>
      <c r="K8" s="10" t="s">
        <v>8</v>
      </c>
      <c r="L8" s="10" t="s">
        <v>8</v>
      </c>
      <c r="M8" s="10">
        <v>10000</v>
      </c>
      <c r="N8" s="10">
        <f>SUM(B8:M8)</f>
        <v>30000</v>
      </c>
      <c r="P8" s="10">
        <v>99150.82</v>
      </c>
    </row>
    <row r="9" spans="1:16" x14ac:dyDescent="0.3">
      <c r="A9" s="8" t="s">
        <v>9</v>
      </c>
      <c r="B9" s="9">
        <v>11346.75</v>
      </c>
      <c r="C9" s="12">
        <v>10000</v>
      </c>
      <c r="D9" s="9">
        <v>38200</v>
      </c>
      <c r="E9" s="10">
        <v>15345</v>
      </c>
      <c r="F9" s="11">
        <v>16000</v>
      </c>
      <c r="G9" s="11">
        <v>16000</v>
      </c>
      <c r="H9" s="10">
        <v>16000</v>
      </c>
      <c r="I9" s="11">
        <v>18000</v>
      </c>
      <c r="J9" s="11">
        <v>19000</v>
      </c>
      <c r="K9" s="10">
        <v>22000</v>
      </c>
      <c r="L9" s="10">
        <v>23000</v>
      </c>
      <c r="M9" s="10">
        <v>44708.25</v>
      </c>
      <c r="N9" s="10">
        <f>SUM(B9:M9)</f>
        <v>249600</v>
      </c>
      <c r="P9" s="10">
        <v>103040.25</v>
      </c>
    </row>
    <row r="10" spans="1:16" x14ac:dyDescent="0.3">
      <c r="A10" s="8" t="s">
        <v>10</v>
      </c>
      <c r="B10" s="9">
        <v>0</v>
      </c>
      <c r="C10" s="9">
        <v>0</v>
      </c>
      <c r="D10" s="9">
        <v>-0.01</v>
      </c>
      <c r="E10" s="10">
        <v>2500</v>
      </c>
      <c r="F10" s="10">
        <v>2500</v>
      </c>
      <c r="G10" s="10">
        <v>2500</v>
      </c>
      <c r="H10" s="10">
        <v>2500</v>
      </c>
      <c r="I10" s="10">
        <v>3000</v>
      </c>
      <c r="J10" s="10">
        <v>3000</v>
      </c>
      <c r="K10" s="10">
        <v>3000</v>
      </c>
      <c r="L10" s="10">
        <v>3000</v>
      </c>
      <c r="M10" s="10">
        <v>3000.01</v>
      </c>
      <c r="N10" s="10">
        <f>SUM(B10:M10)</f>
        <v>25000</v>
      </c>
      <c r="P10" s="10">
        <v>177278.48</v>
      </c>
    </row>
    <row r="11" spans="1:16" x14ac:dyDescent="0.3">
      <c r="A11" s="8" t="s">
        <v>11</v>
      </c>
      <c r="B11" s="12"/>
      <c r="C11" s="9">
        <v>0</v>
      </c>
      <c r="D11" s="9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ref="N11:N13" si="0">SUM(B11:M11)</f>
        <v>0</v>
      </c>
      <c r="P11" s="10">
        <v>28050</v>
      </c>
    </row>
    <row r="12" spans="1:16" x14ac:dyDescent="0.3">
      <c r="A12" s="8" t="s">
        <v>12</v>
      </c>
      <c r="B12" s="9">
        <v>0</v>
      </c>
      <c r="C12" s="12"/>
      <c r="D12" s="12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f t="shared" si="0"/>
        <v>0</v>
      </c>
      <c r="P12" s="11">
        <v>0</v>
      </c>
    </row>
    <row r="13" spans="1:16" x14ac:dyDescent="0.3">
      <c r="A13" s="8" t="s">
        <v>13</v>
      </c>
      <c r="B13" s="9">
        <v>0</v>
      </c>
      <c r="C13" s="9">
        <v>0</v>
      </c>
      <c r="D13" s="9"/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f t="shared" si="0"/>
        <v>0</v>
      </c>
      <c r="P13" s="11">
        <v>2409</v>
      </c>
    </row>
    <row r="14" spans="1:16" x14ac:dyDescent="0.3">
      <c r="A14" s="8" t="s">
        <v>14</v>
      </c>
      <c r="B14" s="13">
        <f t="shared" ref="B14:D14" si="1">((((((B7)+(B8))+(B9))+(B10))+(B11))+(B12))+(B13)</f>
        <v>86099.94</v>
      </c>
      <c r="C14" s="13">
        <f t="shared" si="1"/>
        <v>718179.26</v>
      </c>
      <c r="D14" s="13">
        <f t="shared" si="1"/>
        <v>52353.63</v>
      </c>
      <c r="E14" s="14">
        <f>SUM(E7:E13)</f>
        <v>38130</v>
      </c>
      <c r="F14" s="14">
        <f t="shared" ref="F14:M14" si="2">SUM(F7:F13)</f>
        <v>38785</v>
      </c>
      <c r="G14" s="14">
        <f t="shared" si="2"/>
        <v>48245</v>
      </c>
      <c r="H14" s="14">
        <f t="shared" si="2"/>
        <v>38796</v>
      </c>
      <c r="I14" s="14">
        <f t="shared" si="2"/>
        <v>44372</v>
      </c>
      <c r="J14" s="14">
        <f t="shared" si="2"/>
        <v>56345</v>
      </c>
      <c r="K14" s="14">
        <f t="shared" si="2"/>
        <v>53403</v>
      </c>
      <c r="L14" s="14">
        <f t="shared" si="2"/>
        <v>55215</v>
      </c>
      <c r="M14" s="14">
        <f t="shared" si="2"/>
        <v>114676.26</v>
      </c>
      <c r="N14" s="14">
        <f>SUM(N7:N13)</f>
        <v>1344600.0899999999</v>
      </c>
      <c r="O14" s="15">
        <f>SUM(B14:M14)</f>
        <v>1344600.09</v>
      </c>
      <c r="P14" s="14">
        <f t="shared" ref="P14" si="3">SUM(P7:P13)</f>
        <v>913484.33000000007</v>
      </c>
    </row>
    <row r="15" spans="1:16" hidden="1" x14ac:dyDescent="0.3">
      <c r="A15" s="8" t="s">
        <v>15</v>
      </c>
      <c r="B15" s="13">
        <f t="shared" ref="B15:M15" si="4">(B14)-(0)</f>
        <v>86099.94</v>
      </c>
      <c r="C15" s="13">
        <f t="shared" si="4"/>
        <v>718179.26</v>
      </c>
      <c r="D15" s="13">
        <f t="shared" si="4"/>
        <v>52353.63</v>
      </c>
      <c r="E15" s="14">
        <f t="shared" si="4"/>
        <v>38130</v>
      </c>
      <c r="F15" s="14">
        <f t="shared" si="4"/>
        <v>38785</v>
      </c>
      <c r="G15" s="14">
        <f t="shared" si="4"/>
        <v>48245</v>
      </c>
      <c r="H15" s="14">
        <f t="shared" si="4"/>
        <v>38796</v>
      </c>
      <c r="I15" s="14">
        <f t="shared" si="4"/>
        <v>44372</v>
      </c>
      <c r="J15" s="14">
        <f t="shared" si="4"/>
        <v>56345</v>
      </c>
      <c r="K15" s="14">
        <f t="shared" si="4"/>
        <v>53403</v>
      </c>
      <c r="L15" s="14">
        <f t="shared" si="4"/>
        <v>55215</v>
      </c>
      <c r="M15" s="14">
        <f t="shared" si="4"/>
        <v>114676.26</v>
      </c>
      <c r="N15" s="14">
        <f t="shared" ref="N15" si="5">(((((((((((B15)+(C15))+(D15))+(E15))+(F15))+(G15))+(H15))+(I15))+(J15))+(K15))+(L15))+(M15)</f>
        <v>1344600.09</v>
      </c>
      <c r="P15" s="14">
        <f t="shared" ref="P15" si="6">(P14)-(0)</f>
        <v>913484.33000000007</v>
      </c>
    </row>
    <row r="16" spans="1:16" x14ac:dyDescent="0.3">
      <c r="A16" s="5" t="s">
        <v>16</v>
      </c>
      <c r="B16" s="16"/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P16" s="17"/>
    </row>
    <row r="17" spans="1:16" hidden="1" x14ac:dyDescent="0.3">
      <c r="A17" s="5" t="s">
        <v>17</v>
      </c>
      <c r="B17" s="16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P17" s="17"/>
    </row>
    <row r="18" spans="1:16" x14ac:dyDescent="0.3">
      <c r="A18" s="5" t="s">
        <v>18</v>
      </c>
      <c r="B18" s="16">
        <v>30535.759999999998</v>
      </c>
      <c r="C18" s="16">
        <v>24363.61</v>
      </c>
      <c r="D18" s="16">
        <v>46481.120000000003</v>
      </c>
      <c r="E18" s="17">
        <v>42772</v>
      </c>
      <c r="F18" s="17">
        <v>44992</v>
      </c>
      <c r="G18" s="17">
        <v>53534</v>
      </c>
      <c r="H18" s="17">
        <v>58951</v>
      </c>
      <c r="I18" s="17">
        <v>58951</v>
      </c>
      <c r="J18" s="17">
        <v>58951</v>
      </c>
      <c r="K18" s="17">
        <v>58951</v>
      </c>
      <c r="L18" s="17">
        <v>58951</v>
      </c>
      <c r="M18" s="17">
        <v>58951</v>
      </c>
      <c r="N18" s="17">
        <f>SUM(B18:M18)</f>
        <v>596384.49</v>
      </c>
      <c r="P18" s="17">
        <v>462623.17</v>
      </c>
    </row>
    <row r="19" spans="1:16" x14ac:dyDescent="0.3">
      <c r="A19" s="5" t="s">
        <v>19</v>
      </c>
      <c r="B19" s="16">
        <v>2339.91</v>
      </c>
      <c r="C19" s="16">
        <v>1864.02</v>
      </c>
      <c r="D19" s="16">
        <v>3645.88</v>
      </c>
      <c r="E19" s="17">
        <f>0.373*(42772*0.2)</f>
        <v>3190.7911999999997</v>
      </c>
      <c r="F19" s="17">
        <f>0.373*(44992*0.2)</f>
        <v>3356.4031999999997</v>
      </c>
      <c r="G19" s="17">
        <f>0.373*(53534*0.2)</f>
        <v>3993.6364000000003</v>
      </c>
      <c r="H19" s="17">
        <f>0.373*(58951*0.2)</f>
        <v>4397.7446</v>
      </c>
      <c r="I19" s="17">
        <f>0.373*(58951*0.2)</f>
        <v>4397.7446</v>
      </c>
      <c r="J19" s="17">
        <f t="shared" ref="J19:M19" si="7">0.373*(58951*0.2)</f>
        <v>4397.7446</v>
      </c>
      <c r="K19" s="17">
        <f t="shared" si="7"/>
        <v>4397.7446</v>
      </c>
      <c r="L19" s="17">
        <f t="shared" si="7"/>
        <v>4397.7446</v>
      </c>
      <c r="M19" s="17">
        <f t="shared" si="7"/>
        <v>4397.7446</v>
      </c>
      <c r="N19" s="17">
        <f t="shared" ref="N19:N25" si="8">SUM(B19:M19)</f>
        <v>44777.10839999999</v>
      </c>
      <c r="P19" s="17">
        <v>31672.57</v>
      </c>
    </row>
    <row r="20" spans="1:16" x14ac:dyDescent="0.3">
      <c r="A20" s="5" t="s">
        <v>20</v>
      </c>
      <c r="B20" s="16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P20" s="17"/>
    </row>
    <row r="21" spans="1:16" x14ac:dyDescent="0.3">
      <c r="A21" s="5" t="s">
        <v>21</v>
      </c>
      <c r="B21" s="16">
        <v>75</v>
      </c>
      <c r="C21" s="16">
        <v>87.5</v>
      </c>
      <c r="D21" s="16">
        <v>150</v>
      </c>
      <c r="E21" s="17">
        <f>0.031*(42772*0.2)</f>
        <v>265.18639999999999</v>
      </c>
      <c r="F21" s="17">
        <f>0.031*(44992*0.2)</f>
        <v>278.9504</v>
      </c>
      <c r="G21" s="17">
        <f>0.031*(53534*0.2)</f>
        <v>331.91080000000005</v>
      </c>
      <c r="H21" s="17">
        <f>0.031*(58951*0.2)</f>
        <v>365.49620000000004</v>
      </c>
      <c r="I21" s="17">
        <f>0.031*(58951*0.2)</f>
        <v>365.49620000000004</v>
      </c>
      <c r="J21" s="17">
        <f>0.031*(58951*0.2)</f>
        <v>365.49620000000004</v>
      </c>
      <c r="K21" s="17">
        <f t="shared" ref="K21:M21" si="9">0.031*(58951*0.2)</f>
        <v>365.49620000000004</v>
      </c>
      <c r="L21" s="17">
        <f t="shared" si="9"/>
        <v>365.49620000000004</v>
      </c>
      <c r="M21" s="17">
        <f t="shared" si="9"/>
        <v>365.49620000000004</v>
      </c>
      <c r="N21" s="17">
        <f t="shared" si="8"/>
        <v>3381.5248000000006</v>
      </c>
      <c r="P21" s="17">
        <v>2625</v>
      </c>
    </row>
    <row r="22" spans="1:16" x14ac:dyDescent="0.3">
      <c r="A22" s="5" t="s">
        <v>22</v>
      </c>
      <c r="B22" s="16">
        <v>1398.94</v>
      </c>
      <c r="C22" s="16">
        <v>1222.1199999999999</v>
      </c>
      <c r="D22" s="16">
        <v>1617.17</v>
      </c>
      <c r="E22" s="17">
        <f>0.467*(42772*0.2)</f>
        <v>3994.9048000000003</v>
      </c>
      <c r="F22" s="17">
        <f>0.467*(44992*0.2)</f>
        <v>4202.2528000000002</v>
      </c>
      <c r="G22" s="17">
        <f>0.467*(53534*0.2)</f>
        <v>5000.075600000001</v>
      </c>
      <c r="H22" s="17">
        <f>0.467*(58951*0.2)</f>
        <v>5506.0234000000009</v>
      </c>
      <c r="I22" s="17">
        <f>0.467*(58951*0.2)</f>
        <v>5506.0234000000009</v>
      </c>
      <c r="J22" s="17">
        <f t="shared" ref="J22:M22" si="10">0.467*(58951*0.2)</f>
        <v>5506.0234000000009</v>
      </c>
      <c r="K22" s="17">
        <f t="shared" si="10"/>
        <v>5506.0234000000009</v>
      </c>
      <c r="L22" s="17">
        <f t="shared" si="10"/>
        <v>5506.0234000000009</v>
      </c>
      <c r="M22" s="17">
        <f t="shared" si="10"/>
        <v>5506.0234000000009</v>
      </c>
      <c r="N22" s="17">
        <f t="shared" si="8"/>
        <v>50471.603600000002</v>
      </c>
      <c r="P22" s="17">
        <v>39771.800000000003</v>
      </c>
    </row>
    <row r="23" spans="1:16" x14ac:dyDescent="0.3">
      <c r="A23" s="5" t="s">
        <v>23</v>
      </c>
      <c r="B23" s="16">
        <v>283.75</v>
      </c>
      <c r="C23" s="16">
        <v>283.75</v>
      </c>
      <c r="D23" s="16">
        <v>283.75</v>
      </c>
      <c r="E23" s="17">
        <f>0.09*(42772*0.2)</f>
        <v>769.89599999999996</v>
      </c>
      <c r="F23" s="17">
        <f>0.09*(44992*0.2)</f>
        <v>809.85599999999988</v>
      </c>
      <c r="G23" s="17">
        <f>0.09*(53534*0.2)</f>
        <v>963.61200000000008</v>
      </c>
      <c r="H23" s="17">
        <f>0.09*(58951*0.2)</f>
        <v>1061.1179999999999</v>
      </c>
      <c r="I23" s="17">
        <f>0.09*(58951*0.2)</f>
        <v>1061.1179999999999</v>
      </c>
      <c r="J23" s="17">
        <f t="shared" ref="J23:M23" si="11">0.09*(58951*0.2)</f>
        <v>1061.1179999999999</v>
      </c>
      <c r="K23" s="17">
        <f t="shared" si="11"/>
        <v>1061.1179999999999</v>
      </c>
      <c r="L23" s="17">
        <f t="shared" si="11"/>
        <v>1061.1179999999999</v>
      </c>
      <c r="M23" s="17">
        <f t="shared" si="11"/>
        <v>1061.1179999999999</v>
      </c>
      <c r="N23" s="17">
        <f t="shared" si="8"/>
        <v>9761.3220000000019</v>
      </c>
      <c r="P23" s="17">
        <v>7639.97</v>
      </c>
    </row>
    <row r="24" spans="1:16" x14ac:dyDescent="0.3">
      <c r="A24" s="5" t="s">
        <v>24</v>
      </c>
      <c r="B24" s="16">
        <v>304.08</v>
      </c>
      <c r="C24" s="16">
        <v>0</v>
      </c>
      <c r="D24" s="16">
        <v>590.78</v>
      </c>
      <c r="E24" s="17">
        <f>0.039*(42772*0.2)</f>
        <v>333.6216</v>
      </c>
      <c r="F24" s="17">
        <f>0.039*(44992*0.2)</f>
        <v>350.93759999999997</v>
      </c>
      <c r="G24" s="17">
        <f>0.039*(53534*0.2)</f>
        <v>417.56520000000006</v>
      </c>
      <c r="H24" s="17">
        <f t="shared" ref="H24:M24" si="12">0.039*(58951*0.2)</f>
        <v>459.81780000000003</v>
      </c>
      <c r="I24" s="17">
        <f t="shared" si="12"/>
        <v>459.81780000000003</v>
      </c>
      <c r="J24" s="17">
        <f t="shared" si="12"/>
        <v>459.81780000000003</v>
      </c>
      <c r="K24" s="17">
        <f t="shared" si="12"/>
        <v>459.81780000000003</v>
      </c>
      <c r="L24" s="17">
        <f t="shared" si="12"/>
        <v>459.81780000000003</v>
      </c>
      <c r="M24" s="17">
        <f t="shared" si="12"/>
        <v>459.81780000000003</v>
      </c>
      <c r="N24" s="17">
        <f t="shared" si="8"/>
        <v>4755.8911999999991</v>
      </c>
      <c r="P24" s="17">
        <v>3295.68</v>
      </c>
    </row>
    <row r="25" spans="1:16" x14ac:dyDescent="0.3">
      <c r="A25" s="5" t="s">
        <v>25</v>
      </c>
      <c r="B25" s="18">
        <f>SUM(B18:B24)</f>
        <v>34937.440000000002</v>
      </c>
      <c r="C25" s="18">
        <f>SUM(C18:C24)</f>
        <v>27821</v>
      </c>
      <c r="D25" s="18">
        <f>SUM(D18:D24)</f>
        <v>52768.7</v>
      </c>
      <c r="E25" s="19">
        <f>SUM(E18:E24)</f>
        <v>51326.400000000001</v>
      </c>
      <c r="F25" s="19">
        <f t="shared" ref="F25:M25" si="13">SUM(F18:F24)</f>
        <v>53990.400000000001</v>
      </c>
      <c r="G25" s="19">
        <f t="shared" si="13"/>
        <v>64240.800000000003</v>
      </c>
      <c r="H25" s="19">
        <f t="shared" si="13"/>
        <v>70741.200000000012</v>
      </c>
      <c r="I25" s="19">
        <f t="shared" si="13"/>
        <v>70741.200000000012</v>
      </c>
      <c r="J25" s="19">
        <f t="shared" si="13"/>
        <v>70741.200000000012</v>
      </c>
      <c r="K25" s="19">
        <f t="shared" si="13"/>
        <v>70741.200000000012</v>
      </c>
      <c r="L25" s="19">
        <f t="shared" si="13"/>
        <v>70741.200000000012</v>
      </c>
      <c r="M25" s="19">
        <f t="shared" si="13"/>
        <v>70741.200000000012</v>
      </c>
      <c r="N25" s="19">
        <f t="shared" si="8"/>
        <v>709531.94</v>
      </c>
      <c r="O25" s="15">
        <f>SUM(B25:M25)</f>
        <v>709531.94</v>
      </c>
      <c r="P25" s="19">
        <f t="shared" ref="P25" si="14">SUM(P18:P24)</f>
        <v>547628.19000000006</v>
      </c>
    </row>
    <row r="26" spans="1:16" x14ac:dyDescent="0.3">
      <c r="A26" s="5"/>
      <c r="B26" s="1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5"/>
      <c r="P26" s="17"/>
    </row>
    <row r="27" spans="1:16" x14ac:dyDescent="0.3">
      <c r="A27" s="5" t="s">
        <v>26</v>
      </c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P27" s="17"/>
    </row>
    <row r="28" spans="1:16" x14ac:dyDescent="0.3">
      <c r="A28" s="5" t="s">
        <v>27</v>
      </c>
      <c r="B28" s="20"/>
      <c r="C28" s="16"/>
      <c r="D28" s="20">
        <v>0</v>
      </c>
      <c r="E28" s="17">
        <v>50</v>
      </c>
      <c r="F28" s="17">
        <v>50</v>
      </c>
      <c r="G28" s="17">
        <v>50</v>
      </c>
      <c r="H28" s="17">
        <v>50</v>
      </c>
      <c r="I28" s="17">
        <v>50</v>
      </c>
      <c r="J28" s="17">
        <v>50</v>
      </c>
      <c r="K28" s="17">
        <v>50</v>
      </c>
      <c r="L28" s="17">
        <v>50</v>
      </c>
      <c r="M28" s="17">
        <v>50</v>
      </c>
      <c r="N28" s="21">
        <f>SUM(B28:M28)</f>
        <v>450</v>
      </c>
      <c r="P28" s="17">
        <v>630.6</v>
      </c>
    </row>
    <row r="29" spans="1:16" x14ac:dyDescent="0.3">
      <c r="A29" s="5" t="s">
        <v>28</v>
      </c>
      <c r="B29" s="20">
        <v>21.45</v>
      </c>
      <c r="C29" s="20">
        <v>0</v>
      </c>
      <c r="D29" s="20">
        <v>0</v>
      </c>
      <c r="E29" s="21">
        <v>240</v>
      </c>
      <c r="F29" s="21">
        <v>240</v>
      </c>
      <c r="G29" s="21">
        <v>240</v>
      </c>
      <c r="H29" s="21">
        <v>240</v>
      </c>
      <c r="I29" s="21">
        <v>240</v>
      </c>
      <c r="J29" s="21">
        <v>240</v>
      </c>
      <c r="K29" s="21">
        <v>240</v>
      </c>
      <c r="L29" s="21">
        <v>240</v>
      </c>
      <c r="M29" s="21">
        <v>240</v>
      </c>
      <c r="N29" s="21">
        <f t="shared" ref="N29:N64" si="15">SUM(B29:M29)</f>
        <v>2181.4499999999998</v>
      </c>
      <c r="P29" s="21">
        <v>2129.34</v>
      </c>
    </row>
    <row r="30" spans="1:16" x14ac:dyDescent="0.3">
      <c r="A30" s="5" t="s">
        <v>29</v>
      </c>
      <c r="B30" s="20">
        <v>837.54</v>
      </c>
      <c r="C30" s="20">
        <v>657.06</v>
      </c>
      <c r="D30" s="20">
        <v>0</v>
      </c>
      <c r="E30" s="21">
        <f>20180*0.113+35</f>
        <v>2315.34</v>
      </c>
      <c r="F30" s="21">
        <f>20180*0.124+35</f>
        <v>2537.3200000000002</v>
      </c>
      <c r="G30" s="21">
        <f>20180*0.16+35</f>
        <v>3263.8</v>
      </c>
      <c r="H30" s="21">
        <f>20180*0.188+35</f>
        <v>3828.84</v>
      </c>
      <c r="I30" s="21">
        <f>20180*0.179+35</f>
        <v>3647.22</v>
      </c>
      <c r="J30" s="21">
        <f>20180*0.06+35</f>
        <v>1245.8</v>
      </c>
      <c r="K30" s="21">
        <f>20180*0.005+35</f>
        <v>135.9</v>
      </c>
      <c r="L30" s="21">
        <f>20180*0.031+35</f>
        <v>660.58</v>
      </c>
      <c r="M30" s="21">
        <f>20180*0.05+35</f>
        <v>1044</v>
      </c>
      <c r="N30" s="21">
        <f t="shared" si="15"/>
        <v>20173.400000000005</v>
      </c>
      <c r="P30" s="21">
        <v>26444.79</v>
      </c>
    </row>
    <row r="31" spans="1:16" x14ac:dyDescent="0.3">
      <c r="A31" s="5" t="s">
        <v>30</v>
      </c>
      <c r="B31" s="20">
        <v>66.319999999999993</v>
      </c>
      <c r="C31" s="20">
        <v>69.5</v>
      </c>
      <c r="D31" s="20">
        <v>69.5</v>
      </c>
      <c r="E31" s="21">
        <f>9821*0.084</f>
        <v>824.96400000000006</v>
      </c>
      <c r="F31" s="21">
        <f>9821*0.231</f>
        <v>2268.6510000000003</v>
      </c>
      <c r="G31" s="21">
        <f>9821*0.032</f>
        <v>314.27199999999999</v>
      </c>
      <c r="H31" s="21">
        <f>9821*0.107</f>
        <v>1050.847</v>
      </c>
      <c r="I31" s="21">
        <f>9821*0.087</f>
        <v>854.42699999999991</v>
      </c>
      <c r="J31" s="21">
        <f>9821*0.094</f>
        <v>923.17399999999998</v>
      </c>
      <c r="K31" s="21">
        <f>9821*0.207</f>
        <v>2032.9469999999999</v>
      </c>
      <c r="L31" s="21">
        <f>9821*0.075</f>
        <v>736.57499999999993</v>
      </c>
      <c r="M31" s="21">
        <f>9821*0.007+541</f>
        <v>609.74699999999996</v>
      </c>
      <c r="N31" s="21">
        <f t="shared" si="15"/>
        <v>9820.9239999999991</v>
      </c>
      <c r="P31" s="21">
        <v>10662.81</v>
      </c>
    </row>
    <row r="32" spans="1:16" x14ac:dyDescent="0.3">
      <c r="A32" s="5" t="s">
        <v>31</v>
      </c>
      <c r="B32" s="16"/>
      <c r="C32" s="16"/>
      <c r="D32" s="16"/>
      <c r="E32" s="17">
        <v>30</v>
      </c>
      <c r="F32" s="17">
        <v>30</v>
      </c>
      <c r="G32" s="17">
        <v>30</v>
      </c>
      <c r="H32" s="17">
        <v>30</v>
      </c>
      <c r="I32" s="17">
        <v>30</v>
      </c>
      <c r="J32" s="17">
        <v>30</v>
      </c>
      <c r="K32" s="17">
        <v>30</v>
      </c>
      <c r="L32" s="17">
        <v>30</v>
      </c>
      <c r="M32" s="17">
        <v>30</v>
      </c>
      <c r="N32" s="21">
        <f t="shared" si="15"/>
        <v>270</v>
      </c>
      <c r="P32" s="17">
        <v>447.13</v>
      </c>
    </row>
    <row r="33" spans="1:16" x14ac:dyDescent="0.3">
      <c r="A33" s="5" t="s">
        <v>32</v>
      </c>
      <c r="B33" s="16"/>
      <c r="C33" s="16">
        <v>362.5</v>
      </c>
      <c r="D33" s="16"/>
      <c r="E33" s="17">
        <v>0</v>
      </c>
      <c r="F33" s="17">
        <v>0</v>
      </c>
      <c r="G33" s="21"/>
      <c r="H33" s="17"/>
      <c r="I33" s="17">
        <v>300</v>
      </c>
      <c r="J33" s="21"/>
      <c r="K33" s="21"/>
      <c r="L33" s="17"/>
      <c r="M33" s="17"/>
      <c r="N33" s="21">
        <f t="shared" si="15"/>
        <v>662.5</v>
      </c>
      <c r="P33" s="17">
        <v>501.19</v>
      </c>
    </row>
    <row r="34" spans="1:16" x14ac:dyDescent="0.3">
      <c r="A34" s="5" t="s">
        <v>33</v>
      </c>
      <c r="B34" s="16">
        <v>900</v>
      </c>
      <c r="C34" s="16">
        <v>900</v>
      </c>
      <c r="D34" s="20">
        <v>1224.95</v>
      </c>
      <c r="E34" s="21">
        <f>0.32*10479</f>
        <v>3353.28</v>
      </c>
      <c r="F34" s="21">
        <f>0.17*10479</f>
        <v>1781.43</v>
      </c>
      <c r="G34" s="21">
        <v>0</v>
      </c>
      <c r="H34" s="21">
        <v>0</v>
      </c>
      <c r="I34" s="21">
        <v>0</v>
      </c>
      <c r="J34" s="21">
        <v>0</v>
      </c>
      <c r="K34" s="21">
        <f>0.18*10479</f>
        <v>1886.22</v>
      </c>
      <c r="L34" s="21">
        <v>0</v>
      </c>
      <c r="M34" s="21">
        <v>0</v>
      </c>
      <c r="N34" s="21">
        <f t="shared" si="15"/>
        <v>10045.879999999999</v>
      </c>
      <c r="P34" s="21">
        <v>9979.66</v>
      </c>
    </row>
    <row r="35" spans="1:16" x14ac:dyDescent="0.3">
      <c r="A35" s="5" t="s">
        <v>34</v>
      </c>
      <c r="B35" s="20"/>
      <c r="C35" s="16"/>
      <c r="D35" s="16"/>
      <c r="E35" s="17">
        <v>100</v>
      </c>
      <c r="F35" s="17">
        <v>100</v>
      </c>
      <c r="G35" s="17">
        <v>100</v>
      </c>
      <c r="H35" s="17">
        <v>400</v>
      </c>
      <c r="I35" s="17">
        <v>400</v>
      </c>
      <c r="J35" s="17">
        <v>400</v>
      </c>
      <c r="K35" s="17">
        <v>400</v>
      </c>
      <c r="L35" s="17">
        <v>400</v>
      </c>
      <c r="M35" s="17">
        <v>400</v>
      </c>
      <c r="N35" s="21">
        <f t="shared" si="15"/>
        <v>2700</v>
      </c>
      <c r="P35" s="17">
        <v>2550</v>
      </c>
    </row>
    <row r="36" spans="1:16" x14ac:dyDescent="0.3">
      <c r="A36" s="5" t="s">
        <v>35</v>
      </c>
      <c r="B36" s="16"/>
      <c r="C36" s="20">
        <v>0</v>
      </c>
      <c r="D36" s="16"/>
      <c r="E36" s="17"/>
      <c r="F36" s="17"/>
      <c r="G36" s="17">
        <v>50</v>
      </c>
      <c r="H36" s="17"/>
      <c r="I36" s="17"/>
      <c r="J36" s="17">
        <v>50</v>
      </c>
      <c r="K36" s="17"/>
      <c r="L36" s="17"/>
      <c r="M36" s="17">
        <v>50</v>
      </c>
      <c r="N36" s="21">
        <f t="shared" si="15"/>
        <v>150</v>
      </c>
      <c r="P36" s="17">
        <v>153.68</v>
      </c>
    </row>
    <row r="37" spans="1:16" x14ac:dyDescent="0.3">
      <c r="A37" s="5" t="s">
        <v>36</v>
      </c>
      <c r="B37" s="20">
        <v>411.61</v>
      </c>
      <c r="C37" s="20">
        <v>2118.5</v>
      </c>
      <c r="D37" s="20">
        <v>1906.46</v>
      </c>
      <c r="E37" s="21">
        <v>750</v>
      </c>
      <c r="F37" s="21">
        <v>300</v>
      </c>
      <c r="G37" s="21">
        <v>1200</v>
      </c>
      <c r="H37" s="21">
        <v>900</v>
      </c>
      <c r="I37" s="21">
        <v>100</v>
      </c>
      <c r="J37" s="21">
        <v>500</v>
      </c>
      <c r="K37" s="21">
        <v>100</v>
      </c>
      <c r="L37" s="21">
        <v>100</v>
      </c>
      <c r="M37" s="21">
        <v>0</v>
      </c>
      <c r="N37" s="21">
        <f t="shared" si="15"/>
        <v>8386.57</v>
      </c>
      <c r="P37" s="21">
        <v>14578.74</v>
      </c>
    </row>
    <row r="38" spans="1:16" x14ac:dyDescent="0.3">
      <c r="A38" s="5" t="s">
        <v>37</v>
      </c>
      <c r="B38" s="20">
        <v>118.14</v>
      </c>
      <c r="C38" s="20">
        <v>118.14</v>
      </c>
      <c r="D38" s="20">
        <v>98.5</v>
      </c>
      <c r="E38" s="21">
        <v>375</v>
      </c>
      <c r="F38" s="21">
        <v>375</v>
      </c>
      <c r="G38" s="21">
        <v>375</v>
      </c>
      <c r="H38" s="21">
        <v>375</v>
      </c>
      <c r="I38" s="21">
        <v>375</v>
      </c>
      <c r="J38" s="21">
        <v>375</v>
      </c>
      <c r="K38" s="21">
        <v>375</v>
      </c>
      <c r="L38" s="21">
        <v>375</v>
      </c>
      <c r="M38" s="21">
        <v>375</v>
      </c>
      <c r="N38" s="21">
        <f t="shared" si="15"/>
        <v>3709.7799999999997</v>
      </c>
      <c r="P38" s="21">
        <v>3607.22</v>
      </c>
    </row>
    <row r="39" spans="1:16" x14ac:dyDescent="0.3">
      <c r="A39" s="5" t="s">
        <v>38</v>
      </c>
      <c r="B39" s="20">
        <v>846.91</v>
      </c>
      <c r="C39" s="20">
        <v>444.41</v>
      </c>
      <c r="D39" s="20">
        <v>699.17</v>
      </c>
      <c r="E39" s="21">
        <v>500</v>
      </c>
      <c r="F39" s="21">
        <v>500</v>
      </c>
      <c r="G39" s="21">
        <v>500</v>
      </c>
      <c r="H39" s="21">
        <v>500</v>
      </c>
      <c r="I39" s="21">
        <v>500</v>
      </c>
      <c r="J39" s="21">
        <v>500</v>
      </c>
      <c r="K39" s="21">
        <v>500</v>
      </c>
      <c r="L39" s="21">
        <v>500</v>
      </c>
      <c r="M39" s="21">
        <v>500</v>
      </c>
      <c r="N39" s="21">
        <f t="shared" si="15"/>
        <v>6490.49</v>
      </c>
      <c r="P39" s="21">
        <v>3699.04</v>
      </c>
    </row>
    <row r="40" spans="1:16" x14ac:dyDescent="0.3">
      <c r="A40" s="5" t="s">
        <v>39</v>
      </c>
      <c r="B40" s="20">
        <v>1005</v>
      </c>
      <c r="C40" s="20">
        <f>1005</f>
        <v>1005</v>
      </c>
      <c r="D40" s="16">
        <v>1005</v>
      </c>
      <c r="E40" s="21">
        <v>1005</v>
      </c>
      <c r="F40" s="21">
        <v>1005</v>
      </c>
      <c r="G40" s="21">
        <v>1005</v>
      </c>
      <c r="H40" s="21">
        <v>1005</v>
      </c>
      <c r="I40" s="21">
        <v>1005</v>
      </c>
      <c r="J40" s="21">
        <v>1005</v>
      </c>
      <c r="K40" s="21">
        <v>1005</v>
      </c>
      <c r="L40" s="21">
        <v>1005</v>
      </c>
      <c r="M40" s="21">
        <v>1005</v>
      </c>
      <c r="N40" s="21">
        <f t="shared" si="15"/>
        <v>12060</v>
      </c>
      <c r="P40" s="21">
        <v>28255</v>
      </c>
    </row>
    <row r="41" spans="1:16" x14ac:dyDescent="0.3">
      <c r="A41" s="5" t="s">
        <v>40</v>
      </c>
      <c r="B41" s="20"/>
      <c r="C41" s="20">
        <v>198</v>
      </c>
      <c r="D41" s="20">
        <v>0</v>
      </c>
      <c r="E41" s="21">
        <v>115</v>
      </c>
      <c r="F41" s="21">
        <v>115</v>
      </c>
      <c r="G41" s="21">
        <v>115</v>
      </c>
      <c r="H41" s="21">
        <v>115</v>
      </c>
      <c r="I41" s="21">
        <v>115</v>
      </c>
      <c r="J41" s="21">
        <v>115</v>
      </c>
      <c r="K41" s="21">
        <v>115</v>
      </c>
      <c r="L41" s="21">
        <v>115</v>
      </c>
      <c r="M41" s="21">
        <v>115</v>
      </c>
      <c r="N41" s="21">
        <f t="shared" si="15"/>
        <v>1233</v>
      </c>
      <c r="P41" s="21">
        <v>1440.79</v>
      </c>
    </row>
    <row r="42" spans="1:16" x14ac:dyDescent="0.3">
      <c r="A42" s="5" t="s">
        <v>41</v>
      </c>
      <c r="B42" s="16"/>
      <c r="C42" s="16"/>
      <c r="D42" s="16"/>
      <c r="E42" s="17"/>
      <c r="F42" s="21"/>
      <c r="G42" s="17"/>
      <c r="H42" s="17"/>
      <c r="I42" s="21"/>
      <c r="J42" s="21"/>
      <c r="K42" s="21"/>
      <c r="L42" s="21"/>
      <c r="M42" s="17"/>
      <c r="N42" s="21">
        <f t="shared" si="15"/>
        <v>0</v>
      </c>
      <c r="P42" s="17">
        <v>5895.86</v>
      </c>
    </row>
    <row r="43" spans="1:16" x14ac:dyDescent="0.3">
      <c r="A43" s="5" t="s">
        <v>42</v>
      </c>
      <c r="B43" s="16">
        <v>502.15</v>
      </c>
      <c r="C43" s="16">
        <v>502.15</v>
      </c>
      <c r="D43" s="20">
        <v>1004.3</v>
      </c>
      <c r="E43" s="17">
        <v>0</v>
      </c>
      <c r="F43" s="17">
        <v>500</v>
      </c>
      <c r="G43" s="21">
        <v>500</v>
      </c>
      <c r="H43" s="17">
        <v>500</v>
      </c>
      <c r="I43" s="17">
        <v>500</v>
      </c>
      <c r="J43" s="17">
        <v>500</v>
      </c>
      <c r="K43" s="17">
        <v>500</v>
      </c>
      <c r="L43" s="17">
        <v>500</v>
      </c>
      <c r="M43" s="21">
        <v>500</v>
      </c>
      <c r="N43" s="21">
        <f t="shared" si="15"/>
        <v>6008.6</v>
      </c>
      <c r="P43" s="21">
        <v>3816.16</v>
      </c>
    </row>
    <row r="44" spans="1:16" x14ac:dyDescent="0.3">
      <c r="A44" s="5" t="s">
        <v>43</v>
      </c>
      <c r="B44" s="20"/>
      <c r="C44" s="20">
        <v>500.2</v>
      </c>
      <c r="D44" s="20">
        <v>717.62</v>
      </c>
      <c r="E44" s="21">
        <v>730</v>
      </c>
      <c r="F44" s="21">
        <v>730</v>
      </c>
      <c r="G44" s="21">
        <v>730</v>
      </c>
      <c r="H44" s="21">
        <v>730</v>
      </c>
      <c r="I44" s="21">
        <v>730</v>
      </c>
      <c r="J44" s="21">
        <v>730</v>
      </c>
      <c r="K44" s="21">
        <v>730</v>
      </c>
      <c r="L44" s="21">
        <v>730</v>
      </c>
      <c r="M44" s="21">
        <v>730</v>
      </c>
      <c r="N44" s="21">
        <f t="shared" si="15"/>
        <v>7787.82</v>
      </c>
      <c r="P44" s="21">
        <v>19439.599999999999</v>
      </c>
    </row>
    <row r="45" spans="1:16" x14ac:dyDescent="0.3">
      <c r="A45" s="5" t="s">
        <v>44</v>
      </c>
      <c r="B45" s="20">
        <v>1128.04</v>
      </c>
      <c r="C45" s="20">
        <v>839.07</v>
      </c>
      <c r="D45" s="20">
        <v>839.07</v>
      </c>
      <c r="E45" s="21">
        <v>830</v>
      </c>
      <c r="F45" s="21">
        <v>830</v>
      </c>
      <c r="G45" s="21">
        <v>830</v>
      </c>
      <c r="H45" s="21">
        <v>830</v>
      </c>
      <c r="I45" s="21">
        <v>830</v>
      </c>
      <c r="J45" s="21">
        <v>830</v>
      </c>
      <c r="K45" s="21">
        <v>830</v>
      </c>
      <c r="L45" s="21">
        <v>830</v>
      </c>
      <c r="M45" s="21">
        <v>830</v>
      </c>
      <c r="N45" s="21">
        <f t="shared" si="15"/>
        <v>10276.18</v>
      </c>
      <c r="P45" s="21">
        <v>9848.67</v>
      </c>
    </row>
    <row r="46" spans="1:16" x14ac:dyDescent="0.3">
      <c r="A46" s="5" t="s">
        <v>45</v>
      </c>
      <c r="B46" s="16">
        <v>97.79</v>
      </c>
      <c r="C46" s="20">
        <v>0</v>
      </c>
      <c r="D46" s="16">
        <v>73.209999999999994</v>
      </c>
      <c r="E46" s="21">
        <v>950</v>
      </c>
      <c r="F46" s="21">
        <v>950</v>
      </c>
      <c r="G46" s="21">
        <v>950</v>
      </c>
      <c r="H46" s="21">
        <v>950</v>
      </c>
      <c r="I46" s="21">
        <v>950</v>
      </c>
      <c r="J46" s="21">
        <v>950</v>
      </c>
      <c r="K46" s="21">
        <v>950</v>
      </c>
      <c r="L46" s="21">
        <v>950</v>
      </c>
      <c r="M46" s="21">
        <v>950</v>
      </c>
      <c r="N46" s="21">
        <f t="shared" si="15"/>
        <v>8721</v>
      </c>
      <c r="P46" s="21">
        <v>14804.65</v>
      </c>
    </row>
    <row r="47" spans="1:16" x14ac:dyDescent="0.3">
      <c r="A47" s="5" t="s">
        <v>46</v>
      </c>
      <c r="B47" s="20">
        <v>487.36</v>
      </c>
      <c r="C47" s="20">
        <v>520.28</v>
      </c>
      <c r="D47" s="20">
        <v>424.62</v>
      </c>
      <c r="E47" s="21">
        <f>7777*0.107*1.15</f>
        <v>956.95984999999996</v>
      </c>
      <c r="F47" s="21">
        <f>7777*0.034*1.15</f>
        <v>304.08069999999998</v>
      </c>
      <c r="G47" s="21">
        <f>7777*0.207*1.15</f>
        <v>1851.3148499999998</v>
      </c>
      <c r="H47" s="21">
        <f>7777*0.09*1.15</f>
        <v>804.91949999999986</v>
      </c>
      <c r="I47" s="21">
        <v>500</v>
      </c>
      <c r="J47" s="21">
        <f>7777*0.02*1.15+500</f>
        <v>678.87099999999998</v>
      </c>
      <c r="K47" s="21">
        <f>7777*0.061*1.15</f>
        <v>545.5565499999999</v>
      </c>
      <c r="L47" s="21">
        <f>7777*0.234*1.15</f>
        <v>2092.7907</v>
      </c>
      <c r="M47" s="21">
        <f>7777*0.05*1.15</f>
        <v>447.17750000000001</v>
      </c>
      <c r="N47" s="21">
        <f t="shared" si="15"/>
        <v>9613.9306500000002</v>
      </c>
      <c r="P47" s="21">
        <v>7406.87</v>
      </c>
    </row>
    <row r="48" spans="1:16" x14ac:dyDescent="0.3">
      <c r="A48" s="5" t="s">
        <v>47</v>
      </c>
      <c r="B48" s="20">
        <v>1110.47</v>
      </c>
      <c r="C48" s="20">
        <v>0</v>
      </c>
      <c r="D48" s="20">
        <v>0</v>
      </c>
      <c r="E48" s="21">
        <v>350</v>
      </c>
      <c r="F48" s="21">
        <v>350</v>
      </c>
      <c r="G48" s="21">
        <v>350</v>
      </c>
      <c r="H48" s="21">
        <v>350</v>
      </c>
      <c r="I48" s="21">
        <v>350</v>
      </c>
      <c r="J48" s="21">
        <v>350</v>
      </c>
      <c r="K48" s="21">
        <v>350</v>
      </c>
      <c r="L48" s="21">
        <v>350</v>
      </c>
      <c r="M48" s="21">
        <v>350</v>
      </c>
      <c r="N48" s="21">
        <f t="shared" si="15"/>
        <v>4260.47</v>
      </c>
      <c r="P48" s="21">
        <v>4109.91</v>
      </c>
    </row>
    <row r="49" spans="1:16" x14ac:dyDescent="0.3">
      <c r="A49" s="5" t="s">
        <v>48</v>
      </c>
      <c r="B49" s="16"/>
      <c r="C49" s="20">
        <v>0</v>
      </c>
      <c r="D49" s="16"/>
      <c r="E49" s="17"/>
      <c r="F49" s="21">
        <v>1040</v>
      </c>
      <c r="G49" s="21"/>
      <c r="H49" s="17"/>
      <c r="I49" s="17"/>
      <c r="J49" s="17"/>
      <c r="K49" s="17"/>
      <c r="L49" s="17"/>
      <c r="M49" s="17"/>
      <c r="N49" s="21">
        <f t="shared" si="15"/>
        <v>1040</v>
      </c>
      <c r="P49" s="17">
        <v>990.49</v>
      </c>
    </row>
    <row r="50" spans="1:16" x14ac:dyDescent="0.3">
      <c r="A50" s="5" t="s">
        <v>49</v>
      </c>
      <c r="B50" s="20">
        <v>1450</v>
      </c>
      <c r="C50" s="20">
        <v>1450</v>
      </c>
      <c r="D50" s="20">
        <v>1450</v>
      </c>
      <c r="E50" s="21">
        <v>1450</v>
      </c>
      <c r="F50" s="21">
        <v>1450</v>
      </c>
      <c r="G50" s="21">
        <v>1450</v>
      </c>
      <c r="H50" s="21">
        <v>1450</v>
      </c>
      <c r="I50" s="21">
        <v>1450</v>
      </c>
      <c r="J50" s="21">
        <v>1450</v>
      </c>
      <c r="K50" s="21">
        <v>1450</v>
      </c>
      <c r="L50" s="21">
        <v>1450</v>
      </c>
      <c r="M50" s="21">
        <v>1450</v>
      </c>
      <c r="N50" s="21">
        <f t="shared" si="15"/>
        <v>17400</v>
      </c>
      <c r="P50" s="21">
        <v>30947</v>
      </c>
    </row>
    <row r="51" spans="1:16" x14ac:dyDescent="0.3">
      <c r="A51" s="5" t="s">
        <v>50</v>
      </c>
      <c r="B51" s="16"/>
      <c r="C51" s="20">
        <v>0</v>
      </c>
      <c r="D51" s="16"/>
      <c r="E51" s="17"/>
      <c r="F51" s="17"/>
      <c r="G51" s="21">
        <v>1500</v>
      </c>
      <c r="H51" s="17"/>
      <c r="I51" s="17"/>
      <c r="J51" s="17">
        <v>1500</v>
      </c>
      <c r="K51" s="17"/>
      <c r="L51" s="17"/>
      <c r="M51" s="17">
        <v>1500</v>
      </c>
      <c r="N51" s="21">
        <f t="shared" si="15"/>
        <v>4500</v>
      </c>
      <c r="P51" s="17">
        <v>3855</v>
      </c>
    </row>
    <row r="52" spans="1:16" x14ac:dyDescent="0.3">
      <c r="A52" s="5" t="s">
        <v>51</v>
      </c>
      <c r="B52" s="16"/>
      <c r="C52" s="16">
        <v>262.95999999999998</v>
      </c>
      <c r="D52" s="16"/>
      <c r="E52" s="17"/>
      <c r="F52" s="17"/>
      <c r="G52" s="17"/>
      <c r="H52" s="17"/>
      <c r="I52" s="17"/>
      <c r="J52" s="17"/>
      <c r="K52" s="17"/>
      <c r="L52" s="17"/>
      <c r="M52" s="21"/>
      <c r="N52" s="21">
        <f t="shared" si="15"/>
        <v>262.95999999999998</v>
      </c>
      <c r="P52" s="21">
        <v>-400</v>
      </c>
    </row>
    <row r="53" spans="1:16" x14ac:dyDescent="0.3">
      <c r="A53" s="5" t="s">
        <v>52</v>
      </c>
      <c r="B53" s="16"/>
      <c r="C53" s="16"/>
      <c r="D53" s="16"/>
      <c r="E53" s="17"/>
      <c r="F53" s="17">
        <v>4400</v>
      </c>
      <c r="G53" s="17">
        <v>4400</v>
      </c>
      <c r="H53" s="17">
        <v>4400</v>
      </c>
      <c r="I53" s="17">
        <v>4400</v>
      </c>
      <c r="J53" s="17">
        <v>4400</v>
      </c>
      <c r="K53" s="17">
        <v>4400</v>
      </c>
      <c r="L53" s="17">
        <v>4400</v>
      </c>
      <c r="M53" s="17">
        <v>4400</v>
      </c>
      <c r="N53" s="21">
        <f t="shared" si="15"/>
        <v>35200</v>
      </c>
      <c r="P53" s="17">
        <v>7250</v>
      </c>
    </row>
    <row r="54" spans="1:16" x14ac:dyDescent="0.3">
      <c r="A54" s="5" t="s">
        <v>53</v>
      </c>
      <c r="B54" s="16"/>
      <c r="C54" s="16"/>
      <c r="D54" s="16"/>
      <c r="E54" s="17"/>
      <c r="F54" s="21">
        <v>5500</v>
      </c>
      <c r="G54" s="21">
        <v>5500</v>
      </c>
      <c r="H54" s="21">
        <v>5500</v>
      </c>
      <c r="I54" s="21">
        <v>5500</v>
      </c>
      <c r="J54" s="21">
        <v>5500</v>
      </c>
      <c r="K54" s="21">
        <v>5500</v>
      </c>
      <c r="L54" s="21">
        <v>5500</v>
      </c>
      <c r="M54" s="21">
        <v>5500</v>
      </c>
      <c r="N54" s="21">
        <f t="shared" si="15"/>
        <v>44000</v>
      </c>
      <c r="P54" s="21">
        <v>42592.24</v>
      </c>
    </row>
    <row r="55" spans="1:16" x14ac:dyDescent="0.3">
      <c r="A55" s="5" t="s">
        <v>54</v>
      </c>
      <c r="B55" s="20">
        <v>939.8</v>
      </c>
      <c r="C55" s="20">
        <v>293.74</v>
      </c>
      <c r="D55" s="20">
        <v>232.58</v>
      </c>
      <c r="E55" s="21">
        <v>325</v>
      </c>
      <c r="F55" s="21">
        <v>325</v>
      </c>
      <c r="G55" s="21">
        <v>325</v>
      </c>
      <c r="H55" s="21">
        <v>325</v>
      </c>
      <c r="I55" s="21">
        <v>325</v>
      </c>
      <c r="J55" s="21">
        <v>325</v>
      </c>
      <c r="K55" s="21">
        <v>325</v>
      </c>
      <c r="L55" s="21">
        <v>325</v>
      </c>
      <c r="M55" s="21">
        <v>325</v>
      </c>
      <c r="N55" s="21">
        <f t="shared" si="15"/>
        <v>4391.12</v>
      </c>
      <c r="P55" s="21">
        <v>4162.84</v>
      </c>
    </row>
    <row r="56" spans="1:16" x14ac:dyDescent="0.3">
      <c r="A56" s="5" t="s">
        <v>55</v>
      </c>
      <c r="B56" s="20">
        <v>32.57</v>
      </c>
      <c r="C56" s="20">
        <v>250</v>
      </c>
      <c r="D56" s="20">
        <v>0</v>
      </c>
      <c r="E56" s="21"/>
      <c r="F56" s="21"/>
      <c r="G56" s="21">
        <v>500</v>
      </c>
      <c r="H56" s="21"/>
      <c r="I56" s="21"/>
      <c r="J56" s="21">
        <v>500</v>
      </c>
      <c r="K56" s="21"/>
      <c r="L56" s="21"/>
      <c r="M56" s="21">
        <v>1000</v>
      </c>
      <c r="N56" s="21">
        <f t="shared" si="15"/>
        <v>2282.5699999999997</v>
      </c>
      <c r="P56" s="21">
        <v>6173.43</v>
      </c>
    </row>
    <row r="57" spans="1:16" x14ac:dyDescent="0.3">
      <c r="A57" s="5" t="s">
        <v>56</v>
      </c>
      <c r="B57" s="20"/>
      <c r="C57" s="20">
        <v>0</v>
      </c>
      <c r="D57" s="20">
        <v>58.23</v>
      </c>
      <c r="E57" s="17"/>
      <c r="F57" s="21"/>
      <c r="G57" s="21">
        <v>100</v>
      </c>
      <c r="H57" s="17"/>
      <c r="I57" s="21"/>
      <c r="J57" s="17">
        <v>100</v>
      </c>
      <c r="K57" s="21"/>
      <c r="L57" s="21"/>
      <c r="M57" s="17">
        <v>100</v>
      </c>
      <c r="N57" s="21">
        <f t="shared" si="15"/>
        <v>358.23</v>
      </c>
      <c r="P57" s="17">
        <v>374.47</v>
      </c>
    </row>
    <row r="58" spans="1:16" x14ac:dyDescent="0.3">
      <c r="A58" s="5" t="s">
        <v>57</v>
      </c>
      <c r="B58" s="20">
        <v>1276.08</v>
      </c>
      <c r="C58" s="20">
        <v>1276.08</v>
      </c>
      <c r="D58" s="20">
        <v>1276.0899999999999</v>
      </c>
      <c r="E58" s="21">
        <v>1500</v>
      </c>
      <c r="F58" s="21">
        <v>1500</v>
      </c>
      <c r="G58" s="21">
        <v>1500</v>
      </c>
      <c r="H58" s="21">
        <v>1500</v>
      </c>
      <c r="I58" s="21">
        <v>1500</v>
      </c>
      <c r="J58" s="21">
        <v>1500</v>
      </c>
      <c r="K58" s="21">
        <v>1500</v>
      </c>
      <c r="L58" s="21">
        <v>1500</v>
      </c>
      <c r="M58" s="21">
        <v>1500</v>
      </c>
      <c r="N58" s="21">
        <f t="shared" si="15"/>
        <v>17328.25</v>
      </c>
      <c r="P58" s="21">
        <v>13102.29</v>
      </c>
    </row>
    <row r="59" spans="1:16" x14ac:dyDescent="0.3">
      <c r="A59" s="5" t="s">
        <v>58</v>
      </c>
      <c r="B59" s="20"/>
      <c r="C59" s="16"/>
      <c r="D59" s="20">
        <v>314.61</v>
      </c>
      <c r="E59" s="21"/>
      <c r="F59" s="21"/>
      <c r="G59" s="21">
        <v>1200</v>
      </c>
      <c r="H59" s="21"/>
      <c r="I59" s="17"/>
      <c r="J59" s="17">
        <v>1200</v>
      </c>
      <c r="K59" s="17"/>
      <c r="L59" s="17"/>
      <c r="M59" s="17">
        <v>1200</v>
      </c>
      <c r="N59" s="21">
        <f t="shared" si="15"/>
        <v>3914.61</v>
      </c>
      <c r="P59" s="17">
        <v>5232.3500000000004</v>
      </c>
    </row>
    <row r="60" spans="1:16" x14ac:dyDescent="0.3">
      <c r="A60" s="5" t="s">
        <v>59</v>
      </c>
      <c r="B60" s="20">
        <v>271.22000000000003</v>
      </c>
      <c r="C60" s="20">
        <v>605.44000000000005</v>
      </c>
      <c r="D60" s="20">
        <v>453.95</v>
      </c>
      <c r="E60" s="21">
        <v>1375</v>
      </c>
      <c r="F60" s="21">
        <v>1375</v>
      </c>
      <c r="G60" s="21">
        <v>1375</v>
      </c>
      <c r="H60" s="21">
        <v>1375</v>
      </c>
      <c r="I60" s="21">
        <v>1375</v>
      </c>
      <c r="J60" s="21">
        <v>1375</v>
      </c>
      <c r="K60" s="21">
        <v>1375</v>
      </c>
      <c r="L60" s="21">
        <v>1375</v>
      </c>
      <c r="M60" s="21">
        <v>1375</v>
      </c>
      <c r="N60" s="21">
        <f t="shared" si="15"/>
        <v>13705.61</v>
      </c>
      <c r="P60" s="21">
        <v>14098.18</v>
      </c>
    </row>
    <row r="61" spans="1:16" x14ac:dyDescent="0.3">
      <c r="A61" s="5" t="s">
        <v>60</v>
      </c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P61" s="21">
        <v>20091.91</v>
      </c>
    </row>
    <row r="62" spans="1:16" x14ac:dyDescent="0.3">
      <c r="A62" s="5" t="s">
        <v>61</v>
      </c>
      <c r="B62" s="16"/>
      <c r="C62" s="16"/>
      <c r="D62" s="16"/>
      <c r="E62" s="17"/>
      <c r="F62" s="17"/>
      <c r="G62" s="17"/>
      <c r="H62" s="17"/>
      <c r="I62" s="17"/>
      <c r="J62" s="21"/>
      <c r="K62" s="17"/>
      <c r="L62" s="17"/>
      <c r="M62" s="17"/>
      <c r="N62" s="21">
        <f t="shared" si="15"/>
        <v>0</v>
      </c>
      <c r="P62" s="17">
        <v>90.55</v>
      </c>
    </row>
    <row r="63" spans="1:16" x14ac:dyDescent="0.3">
      <c r="A63" s="5" t="s">
        <v>62</v>
      </c>
      <c r="B63" s="20"/>
      <c r="C63" s="20">
        <v>0</v>
      </c>
      <c r="D63" s="20">
        <v>0</v>
      </c>
      <c r="E63" s="21"/>
      <c r="F63" s="17"/>
      <c r="G63" s="21">
        <v>500</v>
      </c>
      <c r="H63" s="17"/>
      <c r="I63" s="21"/>
      <c r="J63" s="17">
        <v>500</v>
      </c>
      <c r="K63" s="17"/>
      <c r="L63" s="17"/>
      <c r="M63" s="17">
        <v>500</v>
      </c>
      <c r="N63" s="21">
        <f t="shared" si="15"/>
        <v>1500</v>
      </c>
      <c r="P63" s="17">
        <v>1469.3</v>
      </c>
    </row>
    <row r="64" spans="1:16" x14ac:dyDescent="0.3">
      <c r="A64" s="5" t="s">
        <v>63</v>
      </c>
      <c r="B64" s="16">
        <v>365.93</v>
      </c>
      <c r="C64" s="16">
        <v>688.11</v>
      </c>
      <c r="D64" s="16">
        <v>15.79</v>
      </c>
      <c r="E64" s="17"/>
      <c r="F64" s="17"/>
      <c r="G64" s="21"/>
      <c r="H64" s="17"/>
      <c r="I64" s="17"/>
      <c r="J64" s="21"/>
      <c r="K64" s="17"/>
      <c r="L64" s="17"/>
      <c r="M64" s="17"/>
      <c r="N64" s="21">
        <f t="shared" si="15"/>
        <v>1069.83</v>
      </c>
      <c r="P64" s="17">
        <v>2266.4299999999998</v>
      </c>
    </row>
    <row r="65" spans="1:16" x14ac:dyDescent="0.3">
      <c r="A65" s="5" t="s">
        <v>64</v>
      </c>
      <c r="B65" s="22">
        <f>SUM(B28:B64)</f>
        <v>11868.379999999997</v>
      </c>
      <c r="C65" s="22">
        <f t="shared" ref="C65:M65" si="16">SUM(C28:C64)</f>
        <v>13061.14</v>
      </c>
      <c r="D65" s="22">
        <f t="shared" si="16"/>
        <v>11863.650000000001</v>
      </c>
      <c r="E65" s="23">
        <f t="shared" si="16"/>
        <v>18125.543850000002</v>
      </c>
      <c r="F65" s="23">
        <f t="shared" si="16"/>
        <v>28556.481700000004</v>
      </c>
      <c r="G65" s="23">
        <f t="shared" si="16"/>
        <v>30804.386849999999</v>
      </c>
      <c r="H65" s="23">
        <f t="shared" si="16"/>
        <v>27209.606500000002</v>
      </c>
      <c r="I65" s="23">
        <f t="shared" si="16"/>
        <v>26026.647000000001</v>
      </c>
      <c r="J65" s="23">
        <f t="shared" si="16"/>
        <v>27822.845000000001</v>
      </c>
      <c r="K65" s="23">
        <f t="shared" si="16"/>
        <v>25325.623549999997</v>
      </c>
      <c r="L65" s="23">
        <f t="shared" si="16"/>
        <v>24214.9457</v>
      </c>
      <c r="M65" s="23">
        <f t="shared" si="16"/>
        <v>27075.924500000001</v>
      </c>
      <c r="N65" s="23">
        <f t="shared" ref="N65" si="17">(((((((((((B65)+(C65))+(D65))+(E65))+(F65))+(G65))+(H65))+(I65))+(J65))+(K65))+(L65))+(M65)</f>
        <v>271955.17465</v>
      </c>
      <c r="O65" s="15">
        <f>SUM(B65:M65)</f>
        <v>271955.17465</v>
      </c>
      <c r="P65" s="23">
        <f t="shared" ref="P65" si="18">SUM(P28:P64)</f>
        <v>322698.18999999983</v>
      </c>
    </row>
    <row r="66" spans="1:16" x14ac:dyDescent="0.3">
      <c r="A66" s="5" t="s">
        <v>65</v>
      </c>
      <c r="B66" s="22">
        <f>B65+B25</f>
        <v>46805.82</v>
      </c>
      <c r="C66" s="22">
        <f t="shared" ref="C66:P66" si="19">C65+C25</f>
        <v>40882.14</v>
      </c>
      <c r="D66" s="22">
        <f t="shared" si="19"/>
        <v>64632.35</v>
      </c>
      <c r="E66" s="23">
        <f t="shared" si="19"/>
        <v>69451.943850000011</v>
      </c>
      <c r="F66" s="23">
        <f t="shared" si="19"/>
        <v>82546.881699999998</v>
      </c>
      <c r="G66" s="23">
        <f t="shared" si="19"/>
        <v>95045.186849999998</v>
      </c>
      <c r="H66" s="23">
        <f t="shared" si="19"/>
        <v>97950.806500000006</v>
      </c>
      <c r="I66" s="23">
        <f t="shared" si="19"/>
        <v>96767.847000000009</v>
      </c>
      <c r="J66" s="23">
        <f t="shared" si="19"/>
        <v>98564.045000000013</v>
      </c>
      <c r="K66" s="23">
        <f t="shared" si="19"/>
        <v>96066.823550000001</v>
      </c>
      <c r="L66" s="23">
        <f t="shared" si="19"/>
        <v>94956.145700000008</v>
      </c>
      <c r="M66" s="23">
        <f t="shared" si="19"/>
        <v>97817.124500000005</v>
      </c>
      <c r="N66" s="23">
        <f t="shared" si="19"/>
        <v>981487.11464999989</v>
      </c>
      <c r="O66" s="15">
        <f>SUM(B66:M66)</f>
        <v>981487.11465</v>
      </c>
      <c r="P66" s="23">
        <f t="shared" si="19"/>
        <v>870326.37999999989</v>
      </c>
    </row>
    <row r="67" spans="1:16" x14ac:dyDescent="0.3">
      <c r="A67" s="5" t="s">
        <v>66</v>
      </c>
      <c r="B67" s="22">
        <f>(B14)-(B66)</f>
        <v>39294.120000000003</v>
      </c>
      <c r="C67" s="22">
        <f t="shared" ref="C67:M67" si="20">(C14)-(C66)</f>
        <v>677297.12</v>
      </c>
      <c r="D67" s="22">
        <f t="shared" si="20"/>
        <v>-12278.720000000001</v>
      </c>
      <c r="E67" s="23">
        <f t="shared" si="20"/>
        <v>-31321.943850000011</v>
      </c>
      <c r="F67" s="23">
        <f t="shared" si="20"/>
        <v>-43761.881699999998</v>
      </c>
      <c r="G67" s="23">
        <f t="shared" si="20"/>
        <v>-46800.186849999998</v>
      </c>
      <c r="H67" s="23">
        <f t="shared" si="20"/>
        <v>-59154.806500000006</v>
      </c>
      <c r="I67" s="23">
        <f t="shared" si="20"/>
        <v>-52395.847000000009</v>
      </c>
      <c r="J67" s="23">
        <f t="shared" si="20"/>
        <v>-42219.045000000013</v>
      </c>
      <c r="K67" s="23">
        <f t="shared" si="20"/>
        <v>-42663.823550000001</v>
      </c>
      <c r="L67" s="23">
        <f t="shared" si="20"/>
        <v>-39741.145700000008</v>
      </c>
      <c r="M67" s="23">
        <f t="shared" si="20"/>
        <v>16859.135499999989</v>
      </c>
      <c r="N67" s="23">
        <f>(N15)-(N66)</f>
        <v>363112.9753500002</v>
      </c>
      <c r="O67" s="15">
        <f>SUM(B67:M67)</f>
        <v>363112.97534999985</v>
      </c>
      <c r="P67" s="23">
        <f>(P15)-(P66)</f>
        <v>43157.950000000186</v>
      </c>
    </row>
    <row r="68" spans="1:16" x14ac:dyDescent="0.3">
      <c r="A68" s="5"/>
      <c r="B68" s="24"/>
      <c r="C68" s="24"/>
      <c r="D68" s="24"/>
      <c r="E68" s="25"/>
      <c r="F68" s="25"/>
      <c r="G68" s="25"/>
      <c r="H68" s="25"/>
      <c r="I68" s="25"/>
      <c r="J68" s="25"/>
      <c r="K68" s="25"/>
      <c r="L68" s="25"/>
      <c r="M68" s="25"/>
      <c r="N68" s="25"/>
      <c r="P68" s="25"/>
    </row>
    <row r="69" spans="1:16" x14ac:dyDescent="0.3">
      <c r="A69" s="5" t="s">
        <v>67</v>
      </c>
      <c r="B69" s="16"/>
      <c r="C69" s="16"/>
      <c r="D69" s="16"/>
      <c r="E69" s="17"/>
      <c r="F69" s="17"/>
      <c r="G69" s="17"/>
      <c r="H69" s="17"/>
      <c r="I69" s="17"/>
      <c r="J69" s="17"/>
      <c r="K69" s="17"/>
      <c r="L69" s="17"/>
      <c r="M69" s="17"/>
      <c r="N69" s="17"/>
      <c r="P69" s="17"/>
    </row>
    <row r="70" spans="1:16" x14ac:dyDescent="0.3">
      <c r="A70" s="5" t="s">
        <v>68</v>
      </c>
      <c r="B70" s="20">
        <v>0.14000000000000001</v>
      </c>
      <c r="C70" s="20">
        <v>97.88</v>
      </c>
      <c r="D70" s="20">
        <v>1515.31</v>
      </c>
      <c r="E70" s="21">
        <v>500</v>
      </c>
      <c r="F70" s="21">
        <v>500</v>
      </c>
      <c r="G70" s="21">
        <v>500</v>
      </c>
      <c r="H70" s="21">
        <v>500</v>
      </c>
      <c r="I70" s="21">
        <v>500</v>
      </c>
      <c r="J70" s="21">
        <v>500</v>
      </c>
      <c r="K70" s="21">
        <v>500</v>
      </c>
      <c r="L70" s="21">
        <v>500</v>
      </c>
      <c r="M70" s="21">
        <v>500</v>
      </c>
      <c r="N70" s="21">
        <f t="shared" ref="N70:N73" si="21">SUM(B70:M70)</f>
        <v>6113.33</v>
      </c>
      <c r="O70" s="15">
        <f>SUM(B70:M70)</f>
        <v>6113.33</v>
      </c>
      <c r="P70" s="21">
        <v>7.65</v>
      </c>
    </row>
    <row r="71" spans="1:16" x14ac:dyDescent="0.3">
      <c r="A71" s="5" t="s">
        <v>69</v>
      </c>
      <c r="B71" s="16"/>
      <c r="C71" s="20">
        <v>0</v>
      </c>
      <c r="D71" s="20">
        <v>258.08</v>
      </c>
      <c r="E71" s="17"/>
      <c r="F71" s="17"/>
      <c r="G71" s="17"/>
      <c r="H71" s="17"/>
      <c r="I71" s="21"/>
      <c r="J71" s="21"/>
      <c r="K71" s="17"/>
      <c r="L71" s="17"/>
      <c r="M71" s="21"/>
      <c r="N71" s="21">
        <f t="shared" si="21"/>
        <v>258.08</v>
      </c>
      <c r="O71" s="15">
        <f t="shared" ref="O71:O73" si="22">SUM(B71:M71)</f>
        <v>258.08</v>
      </c>
      <c r="P71" s="21">
        <v>-1916.34</v>
      </c>
    </row>
    <row r="72" spans="1:16" x14ac:dyDescent="0.3">
      <c r="A72" s="5" t="s">
        <v>70</v>
      </c>
      <c r="B72" s="16"/>
      <c r="C72" s="20"/>
      <c r="D72" s="20"/>
      <c r="E72" s="17"/>
      <c r="F72" s="17"/>
      <c r="G72" s="17"/>
      <c r="H72" s="17"/>
      <c r="I72" s="21"/>
      <c r="J72" s="21"/>
      <c r="K72" s="17"/>
      <c r="L72" s="17"/>
      <c r="M72" s="21"/>
      <c r="N72" s="21">
        <v>0</v>
      </c>
      <c r="O72" s="15"/>
      <c r="P72" s="21">
        <v>1117.52</v>
      </c>
    </row>
    <row r="73" spans="1:16" x14ac:dyDescent="0.3">
      <c r="A73" s="5" t="s">
        <v>71</v>
      </c>
      <c r="B73" s="20">
        <v>-2049.54</v>
      </c>
      <c r="C73" s="20">
        <v>-2049.54</v>
      </c>
      <c r="D73" s="20">
        <v>-2049.54</v>
      </c>
      <c r="E73" s="21">
        <v>-2049.54</v>
      </c>
      <c r="F73" s="21">
        <v>-2049.54</v>
      </c>
      <c r="G73" s="21">
        <v>-2049.54</v>
      </c>
      <c r="H73" s="21">
        <v>-2049.54</v>
      </c>
      <c r="I73" s="21">
        <v>-2049.54</v>
      </c>
      <c r="J73" s="21">
        <v>-2049.54</v>
      </c>
      <c r="K73" s="21">
        <v>-2049.54</v>
      </c>
      <c r="L73" s="21">
        <v>-2049.54</v>
      </c>
      <c r="M73" s="21">
        <v>-2049.54</v>
      </c>
      <c r="N73" s="21">
        <f t="shared" si="21"/>
        <v>-24594.480000000007</v>
      </c>
      <c r="O73" s="15">
        <f t="shared" si="22"/>
        <v>-24594.480000000007</v>
      </c>
      <c r="P73" s="21">
        <v>-21358.799999999999</v>
      </c>
    </row>
    <row r="74" spans="1:16" x14ac:dyDescent="0.3">
      <c r="A74" s="5" t="s">
        <v>72</v>
      </c>
      <c r="B74" s="22">
        <f>SUM(B70:B73)</f>
        <v>-2049.4</v>
      </c>
      <c r="C74" s="22">
        <f t="shared" ref="C74:P74" si="23">SUM(C70:C73)</f>
        <v>-1951.6599999999999</v>
      </c>
      <c r="D74" s="22">
        <f t="shared" si="23"/>
        <v>-276.15000000000009</v>
      </c>
      <c r="E74" s="23">
        <f t="shared" si="23"/>
        <v>-1549.54</v>
      </c>
      <c r="F74" s="23">
        <f t="shared" si="23"/>
        <v>-1549.54</v>
      </c>
      <c r="G74" s="23">
        <f t="shared" si="23"/>
        <v>-1549.54</v>
      </c>
      <c r="H74" s="23">
        <f t="shared" si="23"/>
        <v>-1549.54</v>
      </c>
      <c r="I74" s="23">
        <f t="shared" si="23"/>
        <v>-1549.54</v>
      </c>
      <c r="J74" s="23">
        <f t="shared" si="23"/>
        <v>-1549.54</v>
      </c>
      <c r="K74" s="23">
        <f t="shared" si="23"/>
        <v>-1549.54</v>
      </c>
      <c r="L74" s="23">
        <f t="shared" si="23"/>
        <v>-1549.54</v>
      </c>
      <c r="M74" s="23">
        <f t="shared" si="23"/>
        <v>-1549.54</v>
      </c>
      <c r="N74" s="23">
        <f t="shared" si="23"/>
        <v>-18223.070000000007</v>
      </c>
      <c r="O74" s="15">
        <f>SUM(B74:M74)</f>
        <v>-18223.070000000003</v>
      </c>
      <c r="P74" s="23">
        <f t="shared" si="23"/>
        <v>-22149.969999999998</v>
      </c>
    </row>
    <row r="75" spans="1:16" hidden="1" x14ac:dyDescent="0.3">
      <c r="A75" s="5" t="s">
        <v>73</v>
      </c>
      <c r="B75" s="22">
        <f t="shared" ref="B75:M75" si="24">(B74)-(0)</f>
        <v>-2049.4</v>
      </c>
      <c r="C75" s="22">
        <f t="shared" si="24"/>
        <v>-1951.6599999999999</v>
      </c>
      <c r="D75" s="22">
        <f t="shared" si="24"/>
        <v>-276.15000000000009</v>
      </c>
      <c r="E75" s="23">
        <f t="shared" si="24"/>
        <v>-1549.54</v>
      </c>
      <c r="F75" s="23">
        <f t="shared" si="24"/>
        <v>-1549.54</v>
      </c>
      <c r="G75" s="23">
        <f t="shared" si="24"/>
        <v>-1549.54</v>
      </c>
      <c r="H75" s="23">
        <f t="shared" si="24"/>
        <v>-1549.54</v>
      </c>
      <c r="I75" s="23">
        <f t="shared" si="24"/>
        <v>-1549.54</v>
      </c>
      <c r="J75" s="23">
        <f t="shared" si="24"/>
        <v>-1549.54</v>
      </c>
      <c r="K75" s="23">
        <f t="shared" si="24"/>
        <v>-1549.54</v>
      </c>
      <c r="L75" s="23">
        <f t="shared" si="24"/>
        <v>-1549.54</v>
      </c>
      <c r="M75" s="23">
        <f t="shared" si="24"/>
        <v>-1549.54</v>
      </c>
      <c r="N75" s="23">
        <f t="shared" ref="N75" si="25">(((((((((((B75)+(C75))+(D75))+(E75))+(F75))+(G75))+(H75))+(I75))+(J75))+(K75))+(L75))+(M75)</f>
        <v>-18223.070000000003</v>
      </c>
      <c r="P75" s="23">
        <f t="shared" ref="P75" si="26">(P74)-(0)</f>
        <v>-22149.969999999998</v>
      </c>
    </row>
    <row r="76" spans="1:16" x14ac:dyDescent="0.3">
      <c r="A76" s="5"/>
      <c r="B76" s="22"/>
      <c r="C76" s="22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P76" s="23"/>
    </row>
    <row r="77" spans="1:16" x14ac:dyDescent="0.3">
      <c r="A77" s="5" t="s">
        <v>74</v>
      </c>
      <c r="B77" s="22">
        <f>(B67)+(B74)</f>
        <v>37244.720000000001</v>
      </c>
      <c r="C77" s="22">
        <f t="shared" ref="C77:N77" si="27">(C67)+(C74)</f>
        <v>675345.46</v>
      </c>
      <c r="D77" s="22">
        <f t="shared" si="27"/>
        <v>-12554.87</v>
      </c>
      <c r="E77" s="23">
        <f t="shared" si="27"/>
        <v>-32871.483850000011</v>
      </c>
      <c r="F77" s="23">
        <f t="shared" si="27"/>
        <v>-45311.421699999999</v>
      </c>
      <c r="G77" s="23">
        <f t="shared" si="27"/>
        <v>-48349.726849999999</v>
      </c>
      <c r="H77" s="23">
        <f t="shared" si="27"/>
        <v>-60704.346500000007</v>
      </c>
      <c r="I77" s="23">
        <f t="shared" si="27"/>
        <v>-53945.38700000001</v>
      </c>
      <c r="J77" s="23">
        <f t="shared" si="27"/>
        <v>-43768.585000000014</v>
      </c>
      <c r="K77" s="23">
        <f t="shared" si="27"/>
        <v>-44213.363550000002</v>
      </c>
      <c r="L77" s="23">
        <f t="shared" si="27"/>
        <v>-41290.685700000009</v>
      </c>
      <c r="M77" s="23">
        <f t="shared" si="27"/>
        <v>15309.595499999989</v>
      </c>
      <c r="N77" s="23">
        <f t="shared" si="27"/>
        <v>344889.90535000019</v>
      </c>
      <c r="O77" s="15">
        <f>SUM(B77:M77)</f>
        <v>344889.90535000002</v>
      </c>
      <c r="P77" s="23">
        <f t="shared" ref="P77" si="28">(P67)+(P74)</f>
        <v>21007.980000000189</v>
      </c>
    </row>
    <row r="78" spans="1:16" x14ac:dyDescent="0.3">
      <c r="A78" s="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P78" s="7"/>
    </row>
  </sheetData>
  <mergeCells count="4">
    <mergeCell ref="A1:N1"/>
    <mergeCell ref="A2:N2"/>
    <mergeCell ref="A3:N3"/>
    <mergeCell ref="B4:D4"/>
  </mergeCells>
  <printOptions horizontalCentered="1" gridLines="1"/>
  <pageMargins left="0.2" right="0.2" top="0.75" bottom="0.75" header="0.3" footer="0.3"/>
  <pageSetup scale="72" fitToHeight="0" orientation="landscape" horizontalDpi="360" verticalDpi="360" r:id="rId1"/>
  <headerFooter>
    <oddHeader xml:space="preserve">&amp;L&amp;"-,Bold"&amp;12 4/23/23&amp;"-,Regular"&amp;11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tabSelected="1" topLeftCell="A4" workbookViewId="0">
      <pane xSplit="1" topLeftCell="B1" activePane="topRight" state="frozen"/>
      <selection activeCell="A4" sqref="A4"/>
      <selection pane="topRight" activeCell="J80" activeCellId="9" sqref="L85 B80 C80 D80 E80 F80 G80 H80 I80 J80"/>
    </sheetView>
  </sheetViews>
  <sheetFormatPr defaultColWidth="8.88671875" defaultRowHeight="14.4" x14ac:dyDescent="0.3"/>
  <cols>
    <col min="1" max="1" width="30.44140625" customWidth="1"/>
    <col min="2" max="2" width="22.6640625" customWidth="1"/>
    <col min="3" max="14" width="12" customWidth="1"/>
    <col min="15" max="15" width="19.21875" customWidth="1"/>
    <col min="16" max="21" width="12" customWidth="1"/>
  </cols>
  <sheetData>
    <row r="1" spans="1:17" ht="17.399999999999999" hidden="1" x14ac:dyDescent="0.3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7" ht="17.399999999999999" hidden="1" x14ac:dyDescent="0.3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hidden="1" x14ac:dyDescent="0.3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7" ht="17.399999999999999" x14ac:dyDescent="0.3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7" ht="17.399999999999999" x14ac:dyDescent="0.3">
      <c r="A5" s="29" t="s">
        <v>76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7" ht="17.399999999999999" x14ac:dyDescent="0.3">
      <c r="A6" s="26"/>
    </row>
    <row r="7" spans="1:17" ht="17.399999999999999" x14ac:dyDescent="0.3">
      <c r="A7" s="26"/>
    </row>
    <row r="8" spans="1:17" ht="24.6" x14ac:dyDescent="0.3">
      <c r="A8" s="1"/>
      <c r="B8" s="2">
        <v>44927</v>
      </c>
      <c r="C8" s="2">
        <v>44958</v>
      </c>
      <c r="D8" s="2">
        <v>44986</v>
      </c>
      <c r="E8" s="3">
        <v>45017</v>
      </c>
      <c r="F8" s="3">
        <v>45047</v>
      </c>
      <c r="G8" s="3">
        <v>45078</v>
      </c>
      <c r="H8" s="3">
        <v>45108</v>
      </c>
      <c r="I8" s="3">
        <v>45139</v>
      </c>
      <c r="J8" s="3">
        <v>45170</v>
      </c>
      <c r="K8" s="3">
        <v>45200</v>
      </c>
      <c r="L8" s="3">
        <v>45231</v>
      </c>
      <c r="M8" s="3">
        <v>45261</v>
      </c>
      <c r="N8" s="4" t="s">
        <v>4</v>
      </c>
      <c r="P8" s="3" t="s">
        <v>5</v>
      </c>
    </row>
    <row r="9" spans="1:17" x14ac:dyDescent="0.3">
      <c r="A9" s="5" t="s">
        <v>2</v>
      </c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P9" s="7"/>
    </row>
    <row r="10" spans="1:17" x14ac:dyDescent="0.3">
      <c r="A10" s="8" t="s">
        <v>6</v>
      </c>
      <c r="B10" s="9">
        <v>74753.19</v>
      </c>
      <c r="C10" s="9">
        <v>707639.26</v>
      </c>
      <c r="D10" s="9">
        <v>14153.64</v>
      </c>
      <c r="E10" s="10">
        <v>20285</v>
      </c>
      <c r="F10" s="10">
        <v>20285</v>
      </c>
      <c r="G10" s="10">
        <v>20285</v>
      </c>
      <c r="H10" s="10">
        <v>20296</v>
      </c>
      <c r="I10" s="10">
        <v>23372</v>
      </c>
      <c r="J10" s="10">
        <v>24345</v>
      </c>
      <c r="K10" s="10">
        <v>28403</v>
      </c>
      <c r="L10" s="10">
        <v>29215</v>
      </c>
      <c r="M10" s="10">
        <v>56968</v>
      </c>
      <c r="N10" s="10">
        <f>SUM(B10:M10)</f>
        <v>1040000.09</v>
      </c>
      <c r="P10" s="10">
        <v>503555.78</v>
      </c>
      <c r="Q10" s="27"/>
    </row>
    <row r="11" spans="1:17" ht="21.6" x14ac:dyDescent="0.3">
      <c r="A11" s="8" t="s">
        <v>7</v>
      </c>
      <c r="B11" s="9">
        <f>0</f>
        <v>0</v>
      </c>
      <c r="C11" s="9">
        <v>540</v>
      </c>
      <c r="D11" s="9"/>
      <c r="E11" s="10">
        <v>0</v>
      </c>
      <c r="F11" s="11">
        <v>0</v>
      </c>
      <c r="G11" s="10">
        <v>9460</v>
      </c>
      <c r="H11" s="10">
        <v>0</v>
      </c>
      <c r="I11" s="10">
        <v>0</v>
      </c>
      <c r="J11" s="10">
        <v>10000</v>
      </c>
      <c r="K11" s="10" t="s">
        <v>8</v>
      </c>
      <c r="L11" s="10" t="s">
        <v>8</v>
      </c>
      <c r="M11" s="10">
        <v>10000</v>
      </c>
      <c r="N11" s="10">
        <f>SUM(B11:M11)</f>
        <v>30000</v>
      </c>
      <c r="P11" s="10">
        <v>99150.82</v>
      </c>
      <c r="Q11" s="27"/>
    </row>
    <row r="12" spans="1:17" x14ac:dyDescent="0.3">
      <c r="A12" s="8" t="s">
        <v>9</v>
      </c>
      <c r="B12" s="9">
        <v>11346.75</v>
      </c>
      <c r="C12" s="12">
        <v>10000</v>
      </c>
      <c r="D12" s="9">
        <v>38200</v>
      </c>
      <c r="E12" s="10">
        <v>15345</v>
      </c>
      <c r="F12" s="11">
        <v>16000</v>
      </c>
      <c r="G12" s="11">
        <v>16000</v>
      </c>
      <c r="H12" s="10">
        <v>16000</v>
      </c>
      <c r="I12" s="11">
        <v>18000</v>
      </c>
      <c r="J12" s="11">
        <v>19000</v>
      </c>
      <c r="K12" s="10">
        <v>22000</v>
      </c>
      <c r="L12" s="10">
        <v>23000</v>
      </c>
      <c r="M12" s="10">
        <v>44708.25</v>
      </c>
      <c r="N12" s="10">
        <f>SUM(B12:M12)</f>
        <v>249600</v>
      </c>
      <c r="P12" s="10">
        <v>103040.25</v>
      </c>
      <c r="Q12" s="27"/>
    </row>
    <row r="13" spans="1:17" x14ac:dyDescent="0.3">
      <c r="A13" s="8" t="s">
        <v>10</v>
      </c>
      <c r="B13" s="9">
        <v>0</v>
      </c>
      <c r="C13" s="9">
        <v>0</v>
      </c>
      <c r="D13" s="9">
        <v>-0.01</v>
      </c>
      <c r="E13" s="10">
        <v>2500</v>
      </c>
      <c r="F13" s="10">
        <v>2500</v>
      </c>
      <c r="G13" s="10">
        <v>2500</v>
      </c>
      <c r="H13" s="10">
        <v>2500</v>
      </c>
      <c r="I13" s="10">
        <v>3000</v>
      </c>
      <c r="J13" s="10">
        <v>3000</v>
      </c>
      <c r="K13" s="10">
        <v>3000</v>
      </c>
      <c r="L13" s="10">
        <v>3000</v>
      </c>
      <c r="M13" s="10">
        <v>3000.01</v>
      </c>
      <c r="N13" s="10">
        <f>SUM(B13:M13)</f>
        <v>25000</v>
      </c>
      <c r="P13" s="10">
        <v>177278.48</v>
      </c>
      <c r="Q13" s="27"/>
    </row>
    <row r="14" spans="1:17" x14ac:dyDescent="0.3">
      <c r="A14" s="8" t="s">
        <v>11</v>
      </c>
      <c r="B14" s="12"/>
      <c r="C14" s="9">
        <v>0</v>
      </c>
      <c r="D14" s="9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f t="shared" ref="N14:N16" si="0">SUM(B14:M14)</f>
        <v>0</v>
      </c>
      <c r="P14" s="10">
        <v>28050</v>
      </c>
      <c r="Q14" s="27"/>
    </row>
    <row r="15" spans="1:17" x14ac:dyDescent="0.3">
      <c r="A15" s="8" t="s">
        <v>12</v>
      </c>
      <c r="B15" s="9">
        <v>0</v>
      </c>
      <c r="C15" s="12"/>
      <c r="D15" s="12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 t="shared" si="0"/>
        <v>0</v>
      </c>
      <c r="P15" s="11">
        <v>0</v>
      </c>
      <c r="Q15" s="27"/>
    </row>
    <row r="16" spans="1:17" x14ac:dyDescent="0.3">
      <c r="A16" s="8" t="s">
        <v>13</v>
      </c>
      <c r="B16" s="9">
        <v>0</v>
      </c>
      <c r="C16" s="9">
        <v>0</v>
      </c>
      <c r="D16" s="9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f t="shared" si="0"/>
        <v>0</v>
      </c>
      <c r="P16" s="11">
        <v>2409</v>
      </c>
      <c r="Q16" s="27"/>
    </row>
    <row r="17" spans="1:18" x14ac:dyDescent="0.3">
      <c r="A17" s="8" t="s">
        <v>14</v>
      </c>
      <c r="B17" s="13">
        <f t="shared" ref="B17:D17" si="1">((((((B10)+(B11))+(B12))+(B13))+(B14))+(B15))+(B16)</f>
        <v>86099.94</v>
      </c>
      <c r="C17" s="13">
        <f t="shared" si="1"/>
        <v>718179.26</v>
      </c>
      <c r="D17" s="13">
        <f t="shared" si="1"/>
        <v>52353.63</v>
      </c>
      <c r="E17" s="14">
        <f>SUM(E10:E16)</f>
        <v>38130</v>
      </c>
      <c r="F17" s="14">
        <f t="shared" ref="F17:M17" si="2">SUM(F10:F16)</f>
        <v>38785</v>
      </c>
      <c r="G17" s="14">
        <f t="shared" si="2"/>
        <v>48245</v>
      </c>
      <c r="H17" s="14">
        <f t="shared" si="2"/>
        <v>38796</v>
      </c>
      <c r="I17" s="14">
        <f t="shared" si="2"/>
        <v>44372</v>
      </c>
      <c r="J17" s="14">
        <f t="shared" si="2"/>
        <v>56345</v>
      </c>
      <c r="K17" s="14">
        <f t="shared" si="2"/>
        <v>53403</v>
      </c>
      <c r="L17" s="14">
        <f t="shared" si="2"/>
        <v>55215</v>
      </c>
      <c r="M17" s="14">
        <f t="shared" si="2"/>
        <v>114676.26</v>
      </c>
      <c r="N17" s="14">
        <f>SUM(N10:N16)</f>
        <v>1344600.0899999999</v>
      </c>
      <c r="O17" s="15">
        <f>SUM(B17:M17)</f>
        <v>1344600.09</v>
      </c>
      <c r="P17" s="14">
        <f t="shared" ref="P17" si="3">SUM(P10:P16)</f>
        <v>913484.33000000007</v>
      </c>
      <c r="Q17" s="27"/>
      <c r="R17" s="28">
        <f>SUM(B17:J17)</f>
        <v>1121305.83</v>
      </c>
    </row>
    <row r="18" spans="1:18" hidden="1" x14ac:dyDescent="0.3">
      <c r="A18" s="8" t="s">
        <v>15</v>
      </c>
      <c r="B18" s="13">
        <f t="shared" ref="B18:M18" si="4">(B17)-(0)</f>
        <v>86099.94</v>
      </c>
      <c r="C18" s="13">
        <f t="shared" si="4"/>
        <v>718179.26</v>
      </c>
      <c r="D18" s="13">
        <f t="shared" si="4"/>
        <v>52353.63</v>
      </c>
      <c r="E18" s="14">
        <f t="shared" si="4"/>
        <v>38130</v>
      </c>
      <c r="F18" s="14">
        <f t="shared" si="4"/>
        <v>38785</v>
      </c>
      <c r="G18" s="14">
        <f t="shared" si="4"/>
        <v>48245</v>
      </c>
      <c r="H18" s="14">
        <f t="shared" si="4"/>
        <v>38796</v>
      </c>
      <c r="I18" s="14">
        <f t="shared" si="4"/>
        <v>44372</v>
      </c>
      <c r="J18" s="14">
        <f t="shared" si="4"/>
        <v>56345</v>
      </c>
      <c r="K18" s="14">
        <f t="shared" si="4"/>
        <v>53403</v>
      </c>
      <c r="L18" s="14">
        <f t="shared" si="4"/>
        <v>55215</v>
      </c>
      <c r="M18" s="14">
        <f t="shared" si="4"/>
        <v>114676.26</v>
      </c>
      <c r="N18" s="14">
        <f t="shared" ref="N18" si="5">(((((((((((B18)+(C18))+(D18))+(E18))+(F18))+(G18))+(H18))+(I18))+(J18))+(K18))+(L18))+(M18)</f>
        <v>1344600.09</v>
      </c>
      <c r="P18" s="14">
        <f t="shared" ref="P18" si="6">(P17)-(0)</f>
        <v>913484.33000000007</v>
      </c>
      <c r="Q18" s="27"/>
    </row>
    <row r="19" spans="1:18" x14ac:dyDescent="0.3">
      <c r="A19" s="5" t="s">
        <v>16</v>
      </c>
      <c r="B19" s="16"/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P19" s="17"/>
      <c r="Q19" s="27"/>
    </row>
    <row r="20" spans="1:18" hidden="1" x14ac:dyDescent="0.3">
      <c r="A20" s="5" t="s">
        <v>17</v>
      </c>
      <c r="B20" s="16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P20" s="17"/>
      <c r="Q20" s="27"/>
    </row>
    <row r="21" spans="1:18" x14ac:dyDescent="0.3">
      <c r="A21" s="5" t="s">
        <v>18</v>
      </c>
      <c r="B21" s="16">
        <v>30535.759999999998</v>
      </c>
      <c r="C21" s="16">
        <v>24363.61</v>
      </c>
      <c r="D21" s="16">
        <v>46481.120000000003</v>
      </c>
      <c r="E21" s="17">
        <v>42772</v>
      </c>
      <c r="F21" s="17">
        <v>44992</v>
      </c>
      <c r="G21" s="17">
        <v>53534</v>
      </c>
      <c r="H21" s="17">
        <v>58951</v>
      </c>
      <c r="I21" s="17">
        <v>58951</v>
      </c>
      <c r="J21" s="17">
        <v>58951</v>
      </c>
      <c r="K21" s="17">
        <v>58951</v>
      </c>
      <c r="L21" s="17">
        <v>58951</v>
      </c>
      <c r="M21" s="17">
        <v>58951</v>
      </c>
      <c r="N21" s="17">
        <f>SUM(B21:M21)</f>
        <v>596384.49</v>
      </c>
      <c r="P21" s="17">
        <v>462623.17</v>
      </c>
      <c r="Q21" s="27"/>
    </row>
    <row r="22" spans="1:18" x14ac:dyDescent="0.3">
      <c r="A22" s="5" t="s">
        <v>19</v>
      </c>
      <c r="B22" s="16">
        <v>2339.91</v>
      </c>
      <c r="C22" s="16">
        <v>1864.02</v>
      </c>
      <c r="D22" s="16">
        <v>3645.88</v>
      </c>
      <c r="E22" s="17">
        <f>0.373*(42772*0.2)</f>
        <v>3190.7911999999997</v>
      </c>
      <c r="F22" s="17">
        <f>0.373*(44992*0.2)</f>
        <v>3356.4031999999997</v>
      </c>
      <c r="G22" s="17">
        <f>0.373*(53534*0.2)</f>
        <v>3993.6364000000003</v>
      </c>
      <c r="H22" s="17">
        <f>0.373*(58951*0.2)</f>
        <v>4397.7446</v>
      </c>
      <c r="I22" s="17">
        <f>0.373*(58951*0.2)</f>
        <v>4397.7446</v>
      </c>
      <c r="J22" s="17">
        <f t="shared" ref="J22:M22" si="7">0.373*(58951*0.2)</f>
        <v>4397.7446</v>
      </c>
      <c r="K22" s="17">
        <f t="shared" si="7"/>
        <v>4397.7446</v>
      </c>
      <c r="L22" s="17">
        <f t="shared" si="7"/>
        <v>4397.7446</v>
      </c>
      <c r="M22" s="17">
        <f t="shared" si="7"/>
        <v>4397.7446</v>
      </c>
      <c r="N22" s="17">
        <f t="shared" ref="N22:N28" si="8">SUM(B22:M22)</f>
        <v>44777.10839999999</v>
      </c>
      <c r="P22" s="17">
        <v>31672.57</v>
      </c>
      <c r="Q22" s="27"/>
    </row>
    <row r="23" spans="1:18" x14ac:dyDescent="0.3">
      <c r="A23" s="5" t="s">
        <v>20</v>
      </c>
      <c r="B23" s="16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P23" s="17"/>
      <c r="Q23" s="27"/>
    </row>
    <row r="24" spans="1:18" x14ac:dyDescent="0.3">
      <c r="A24" s="5" t="s">
        <v>21</v>
      </c>
      <c r="B24" s="16">
        <v>75</v>
      </c>
      <c r="C24" s="16">
        <v>87.5</v>
      </c>
      <c r="D24" s="16">
        <v>150</v>
      </c>
      <c r="E24" s="17">
        <f>0.031*(42772*0.2)</f>
        <v>265.18639999999999</v>
      </c>
      <c r="F24" s="17">
        <f>0.031*(44992*0.2)</f>
        <v>278.9504</v>
      </c>
      <c r="G24" s="17">
        <f>0.031*(53534*0.2)</f>
        <v>331.91080000000005</v>
      </c>
      <c r="H24" s="17">
        <f>0.031*(58951*0.2)</f>
        <v>365.49620000000004</v>
      </c>
      <c r="I24" s="17">
        <f>0.031*(58951*0.2)</f>
        <v>365.49620000000004</v>
      </c>
      <c r="J24" s="17">
        <f>0.031*(58951*0.2)</f>
        <v>365.49620000000004</v>
      </c>
      <c r="K24" s="17">
        <f t="shared" ref="K24:M24" si="9">0.031*(58951*0.2)</f>
        <v>365.49620000000004</v>
      </c>
      <c r="L24" s="17">
        <f t="shared" si="9"/>
        <v>365.49620000000004</v>
      </c>
      <c r="M24" s="17">
        <f t="shared" si="9"/>
        <v>365.49620000000004</v>
      </c>
      <c r="N24" s="17">
        <f t="shared" si="8"/>
        <v>3381.5248000000006</v>
      </c>
      <c r="P24" s="17">
        <v>2625</v>
      </c>
      <c r="Q24" s="27"/>
    </row>
    <row r="25" spans="1:18" x14ac:dyDescent="0.3">
      <c r="A25" s="5" t="s">
        <v>22</v>
      </c>
      <c r="B25" s="16">
        <v>1398.94</v>
      </c>
      <c r="C25" s="16">
        <v>1222.1199999999999</v>
      </c>
      <c r="D25" s="16">
        <v>1617.17</v>
      </c>
      <c r="E25" s="17">
        <f>0.467*(42772*0.2)</f>
        <v>3994.9048000000003</v>
      </c>
      <c r="F25" s="17">
        <f>0.467*(44992*0.2)</f>
        <v>4202.2528000000002</v>
      </c>
      <c r="G25" s="17">
        <f>0.467*(53534*0.2)</f>
        <v>5000.075600000001</v>
      </c>
      <c r="H25" s="17">
        <f>0.467*(58951*0.2)</f>
        <v>5506.0234000000009</v>
      </c>
      <c r="I25" s="17">
        <f>0.467*(58951*0.2)</f>
        <v>5506.0234000000009</v>
      </c>
      <c r="J25" s="17">
        <f t="shared" ref="J25:M25" si="10">0.467*(58951*0.2)</f>
        <v>5506.0234000000009</v>
      </c>
      <c r="K25" s="17">
        <f t="shared" si="10"/>
        <v>5506.0234000000009</v>
      </c>
      <c r="L25" s="17">
        <f t="shared" si="10"/>
        <v>5506.0234000000009</v>
      </c>
      <c r="M25" s="17">
        <f t="shared" si="10"/>
        <v>5506.0234000000009</v>
      </c>
      <c r="N25" s="17">
        <f t="shared" si="8"/>
        <v>50471.603600000002</v>
      </c>
      <c r="P25" s="17">
        <v>39771.800000000003</v>
      </c>
      <c r="Q25" s="27"/>
    </row>
    <row r="26" spans="1:18" ht="21.6" x14ac:dyDescent="0.3">
      <c r="A26" s="5" t="s">
        <v>23</v>
      </c>
      <c r="B26" s="16">
        <v>283.75</v>
      </c>
      <c r="C26" s="16">
        <v>283.75</v>
      </c>
      <c r="D26" s="16">
        <v>283.75</v>
      </c>
      <c r="E26" s="17">
        <f>0.09*(42772*0.2)</f>
        <v>769.89599999999996</v>
      </c>
      <c r="F26" s="17">
        <f>0.09*(44992*0.2)</f>
        <v>809.85599999999988</v>
      </c>
      <c r="G26" s="17">
        <f>0.09*(53534*0.2)</f>
        <v>963.61200000000008</v>
      </c>
      <c r="H26" s="17">
        <f>0.09*(58951*0.2)</f>
        <v>1061.1179999999999</v>
      </c>
      <c r="I26" s="17">
        <f>0.09*(58951*0.2)</f>
        <v>1061.1179999999999</v>
      </c>
      <c r="J26" s="17">
        <f t="shared" ref="J26:M26" si="11">0.09*(58951*0.2)</f>
        <v>1061.1179999999999</v>
      </c>
      <c r="K26" s="17">
        <f t="shared" si="11"/>
        <v>1061.1179999999999</v>
      </c>
      <c r="L26" s="17">
        <f t="shared" si="11"/>
        <v>1061.1179999999999</v>
      </c>
      <c r="M26" s="17">
        <f t="shared" si="11"/>
        <v>1061.1179999999999</v>
      </c>
      <c r="N26" s="17">
        <f t="shared" si="8"/>
        <v>9761.3220000000019</v>
      </c>
      <c r="P26" s="17">
        <v>7639.97</v>
      </c>
      <c r="Q26" s="27"/>
    </row>
    <row r="27" spans="1:18" x14ac:dyDescent="0.3">
      <c r="A27" s="5" t="s">
        <v>24</v>
      </c>
      <c r="B27" s="16">
        <v>304.08</v>
      </c>
      <c r="C27" s="16">
        <v>0</v>
      </c>
      <c r="D27" s="16">
        <v>590.78</v>
      </c>
      <c r="E27" s="17">
        <f>0.039*(42772*0.2)</f>
        <v>333.6216</v>
      </c>
      <c r="F27" s="17">
        <f>0.039*(44992*0.2)</f>
        <v>350.93759999999997</v>
      </c>
      <c r="G27" s="17">
        <f>0.039*(53534*0.2)</f>
        <v>417.56520000000006</v>
      </c>
      <c r="H27" s="17">
        <f t="shared" ref="H27:M27" si="12">0.039*(58951*0.2)</f>
        <v>459.81780000000003</v>
      </c>
      <c r="I27" s="17">
        <f t="shared" si="12"/>
        <v>459.81780000000003</v>
      </c>
      <c r="J27" s="17">
        <f t="shared" si="12"/>
        <v>459.81780000000003</v>
      </c>
      <c r="K27" s="17">
        <f t="shared" si="12"/>
        <v>459.81780000000003</v>
      </c>
      <c r="L27" s="17">
        <f t="shared" si="12"/>
        <v>459.81780000000003</v>
      </c>
      <c r="M27" s="17">
        <f t="shared" si="12"/>
        <v>459.81780000000003</v>
      </c>
      <c r="N27" s="17">
        <f t="shared" si="8"/>
        <v>4755.8911999999991</v>
      </c>
      <c r="P27" s="17">
        <v>3295.68</v>
      </c>
      <c r="Q27" s="27"/>
    </row>
    <row r="28" spans="1:18" x14ac:dyDescent="0.3">
      <c r="A28" s="5" t="s">
        <v>25</v>
      </c>
      <c r="B28" s="18">
        <f>SUM(B21:B27)</f>
        <v>34937.440000000002</v>
      </c>
      <c r="C28" s="18">
        <f>SUM(C21:C27)</f>
        <v>27821</v>
      </c>
      <c r="D28" s="18">
        <f>SUM(D21:D27)</f>
        <v>52768.7</v>
      </c>
      <c r="E28" s="19">
        <f>SUM(E21:E27)</f>
        <v>51326.400000000001</v>
      </c>
      <c r="F28" s="19">
        <f t="shared" ref="F28:M28" si="13">SUM(F21:F27)</f>
        <v>53990.400000000001</v>
      </c>
      <c r="G28" s="19">
        <f t="shared" si="13"/>
        <v>64240.800000000003</v>
      </c>
      <c r="H28" s="19">
        <f t="shared" si="13"/>
        <v>70741.200000000012</v>
      </c>
      <c r="I28" s="19">
        <f t="shared" si="13"/>
        <v>70741.200000000012</v>
      </c>
      <c r="J28" s="19">
        <f t="shared" si="13"/>
        <v>70741.200000000012</v>
      </c>
      <c r="K28" s="19">
        <f t="shared" si="13"/>
        <v>70741.200000000012</v>
      </c>
      <c r="L28" s="19">
        <f t="shared" si="13"/>
        <v>70741.200000000012</v>
      </c>
      <c r="M28" s="19">
        <f t="shared" si="13"/>
        <v>70741.200000000012</v>
      </c>
      <c r="N28" s="19">
        <f t="shared" si="8"/>
        <v>709531.94</v>
      </c>
      <c r="O28" s="15">
        <f>SUM(B28:M28)</f>
        <v>709531.94</v>
      </c>
      <c r="P28" s="19">
        <f t="shared" ref="P28" si="14">SUM(P21:P27)</f>
        <v>547628.19000000006</v>
      </c>
      <c r="Q28" s="27"/>
      <c r="R28" s="28">
        <f>SUM(B28:J28)</f>
        <v>497308.34</v>
      </c>
    </row>
    <row r="29" spans="1:18" x14ac:dyDescent="0.3">
      <c r="A29" s="5"/>
      <c r="B29" s="16"/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5"/>
      <c r="P29" s="17"/>
      <c r="Q29" s="27"/>
    </row>
    <row r="30" spans="1:18" x14ac:dyDescent="0.3">
      <c r="A30" s="5" t="s">
        <v>26</v>
      </c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P30" s="17"/>
      <c r="Q30" s="27"/>
    </row>
    <row r="31" spans="1:18" x14ac:dyDescent="0.3">
      <c r="A31" s="5" t="s">
        <v>27</v>
      </c>
      <c r="B31" s="20"/>
      <c r="C31" s="16"/>
      <c r="D31" s="20">
        <v>0</v>
      </c>
      <c r="E31" s="17">
        <v>50</v>
      </c>
      <c r="F31" s="17">
        <v>50</v>
      </c>
      <c r="G31" s="17">
        <v>50</v>
      </c>
      <c r="H31" s="17">
        <v>50</v>
      </c>
      <c r="I31" s="17">
        <v>50</v>
      </c>
      <c r="J31" s="17">
        <v>50</v>
      </c>
      <c r="K31" s="17">
        <v>50</v>
      </c>
      <c r="L31" s="17">
        <v>50</v>
      </c>
      <c r="M31" s="17">
        <v>50</v>
      </c>
      <c r="N31" s="21">
        <f>SUM(B31:M31)</f>
        <v>450</v>
      </c>
      <c r="P31" s="17">
        <v>630.6</v>
      </c>
      <c r="Q31" s="27"/>
    </row>
    <row r="32" spans="1:18" x14ac:dyDescent="0.3">
      <c r="A32" s="5" t="s">
        <v>28</v>
      </c>
      <c r="B32" s="20">
        <v>21.45</v>
      </c>
      <c r="C32" s="20">
        <v>0</v>
      </c>
      <c r="D32" s="20">
        <v>0</v>
      </c>
      <c r="E32" s="21">
        <v>240</v>
      </c>
      <c r="F32" s="21">
        <v>240</v>
      </c>
      <c r="G32" s="21">
        <v>240</v>
      </c>
      <c r="H32" s="21">
        <v>240</v>
      </c>
      <c r="I32" s="21">
        <v>240</v>
      </c>
      <c r="J32" s="21">
        <v>240</v>
      </c>
      <c r="K32" s="21">
        <v>240</v>
      </c>
      <c r="L32" s="21">
        <v>240</v>
      </c>
      <c r="M32" s="21">
        <v>240</v>
      </c>
      <c r="N32" s="21">
        <f t="shared" ref="N32:N67" si="15">SUM(B32:M32)</f>
        <v>2181.4499999999998</v>
      </c>
      <c r="P32" s="21">
        <v>2129.34</v>
      </c>
      <c r="Q32" s="27"/>
    </row>
    <row r="33" spans="1:17" x14ac:dyDescent="0.3">
      <c r="A33" s="5" t="s">
        <v>29</v>
      </c>
      <c r="B33" s="20">
        <v>837.54</v>
      </c>
      <c r="C33" s="20">
        <v>657.06</v>
      </c>
      <c r="D33" s="20">
        <v>0</v>
      </c>
      <c r="E33" s="21">
        <f>20180*0.113+35</f>
        <v>2315.34</v>
      </c>
      <c r="F33" s="21">
        <f>20180*0.124+35</f>
        <v>2537.3200000000002</v>
      </c>
      <c r="G33" s="21">
        <f>20180*0.16+35</f>
        <v>3263.8</v>
      </c>
      <c r="H33" s="21">
        <f>20180*0.188+35</f>
        <v>3828.84</v>
      </c>
      <c r="I33" s="21">
        <f>20180*0.179+35</f>
        <v>3647.22</v>
      </c>
      <c r="J33" s="21">
        <f>20180*0.06+35</f>
        <v>1245.8</v>
      </c>
      <c r="K33" s="21">
        <f>20180*0.005+35</f>
        <v>135.9</v>
      </c>
      <c r="L33" s="21">
        <f>20180*0.031+35</f>
        <v>660.58</v>
      </c>
      <c r="M33" s="21">
        <f>20180*0.05+35</f>
        <v>1044</v>
      </c>
      <c r="N33" s="21">
        <f t="shared" si="15"/>
        <v>20173.400000000005</v>
      </c>
      <c r="P33" s="21">
        <v>26444.79</v>
      </c>
      <c r="Q33" s="27"/>
    </row>
    <row r="34" spans="1:17" x14ac:dyDescent="0.3">
      <c r="A34" s="5" t="s">
        <v>30</v>
      </c>
      <c r="B34" s="20">
        <v>66.319999999999993</v>
      </c>
      <c r="C34" s="20">
        <v>69.5</v>
      </c>
      <c r="D34" s="20">
        <v>69.5</v>
      </c>
      <c r="E34" s="21">
        <f>9821*0.084</f>
        <v>824.96400000000006</v>
      </c>
      <c r="F34" s="21">
        <f>9821*0.231</f>
        <v>2268.6510000000003</v>
      </c>
      <c r="G34" s="21">
        <f>9821*0.032</f>
        <v>314.27199999999999</v>
      </c>
      <c r="H34" s="21">
        <f>9821*0.107</f>
        <v>1050.847</v>
      </c>
      <c r="I34" s="21">
        <f>9821*0.087</f>
        <v>854.42699999999991</v>
      </c>
      <c r="J34" s="21">
        <f>9821*0.094</f>
        <v>923.17399999999998</v>
      </c>
      <c r="K34" s="21">
        <f>9821*0.207</f>
        <v>2032.9469999999999</v>
      </c>
      <c r="L34" s="21">
        <f>9821*0.075</f>
        <v>736.57499999999993</v>
      </c>
      <c r="M34" s="21">
        <f>9821*0.007+541</f>
        <v>609.74699999999996</v>
      </c>
      <c r="N34" s="21">
        <f t="shared" si="15"/>
        <v>9820.9239999999991</v>
      </c>
      <c r="P34" s="21">
        <v>10662.81</v>
      </c>
      <c r="Q34" s="27"/>
    </row>
    <row r="35" spans="1:17" x14ac:dyDescent="0.3">
      <c r="A35" s="5" t="s">
        <v>31</v>
      </c>
      <c r="B35" s="16"/>
      <c r="C35" s="16"/>
      <c r="D35" s="16"/>
      <c r="E35" s="17">
        <v>30</v>
      </c>
      <c r="F35" s="17">
        <v>30</v>
      </c>
      <c r="G35" s="17">
        <v>30</v>
      </c>
      <c r="H35" s="17">
        <v>30</v>
      </c>
      <c r="I35" s="17">
        <v>30</v>
      </c>
      <c r="J35" s="17">
        <v>30</v>
      </c>
      <c r="K35" s="17">
        <v>30</v>
      </c>
      <c r="L35" s="17">
        <v>30</v>
      </c>
      <c r="M35" s="17">
        <v>30</v>
      </c>
      <c r="N35" s="21">
        <f t="shared" si="15"/>
        <v>270</v>
      </c>
      <c r="P35" s="17">
        <v>447.13</v>
      </c>
      <c r="Q35" s="27"/>
    </row>
    <row r="36" spans="1:17" x14ac:dyDescent="0.3">
      <c r="A36" s="5" t="s">
        <v>32</v>
      </c>
      <c r="B36" s="16"/>
      <c r="C36" s="16">
        <v>362.5</v>
      </c>
      <c r="D36" s="16"/>
      <c r="E36" s="17">
        <v>0</v>
      </c>
      <c r="F36" s="17">
        <v>0</v>
      </c>
      <c r="G36" s="21"/>
      <c r="H36" s="17"/>
      <c r="I36" s="17">
        <v>300</v>
      </c>
      <c r="J36" s="21"/>
      <c r="K36" s="21"/>
      <c r="L36" s="17"/>
      <c r="M36" s="17"/>
      <c r="N36" s="21">
        <f t="shared" si="15"/>
        <v>662.5</v>
      </c>
      <c r="P36" s="17">
        <v>501.19</v>
      </c>
      <c r="Q36" s="27"/>
    </row>
    <row r="37" spans="1:17" x14ac:dyDescent="0.3">
      <c r="A37" s="5" t="s">
        <v>33</v>
      </c>
      <c r="B37" s="16">
        <v>900</v>
      </c>
      <c r="C37" s="16">
        <v>900</v>
      </c>
      <c r="D37" s="20">
        <v>1224.95</v>
      </c>
      <c r="E37" s="21">
        <f>0.32*10479</f>
        <v>3353.28</v>
      </c>
      <c r="F37" s="21">
        <f>0.17*10479</f>
        <v>1781.43</v>
      </c>
      <c r="G37" s="21">
        <v>0</v>
      </c>
      <c r="H37" s="21">
        <v>0</v>
      </c>
      <c r="I37" s="21">
        <v>0</v>
      </c>
      <c r="J37" s="21">
        <v>0</v>
      </c>
      <c r="K37" s="21">
        <f>0.18*10479</f>
        <v>1886.22</v>
      </c>
      <c r="L37" s="21">
        <v>0</v>
      </c>
      <c r="M37" s="21">
        <v>0</v>
      </c>
      <c r="N37" s="21">
        <f t="shared" si="15"/>
        <v>10045.879999999999</v>
      </c>
      <c r="P37" s="21">
        <v>9979.66</v>
      </c>
      <c r="Q37" s="27"/>
    </row>
    <row r="38" spans="1:17" x14ac:dyDescent="0.3">
      <c r="A38" s="5" t="s">
        <v>34</v>
      </c>
      <c r="B38" s="20"/>
      <c r="C38" s="16"/>
      <c r="D38" s="16"/>
      <c r="E38" s="17">
        <v>100</v>
      </c>
      <c r="F38" s="17">
        <v>100</v>
      </c>
      <c r="G38" s="17">
        <v>100</v>
      </c>
      <c r="H38" s="17">
        <v>400</v>
      </c>
      <c r="I38" s="17">
        <v>400</v>
      </c>
      <c r="J38" s="17">
        <v>400</v>
      </c>
      <c r="K38" s="17">
        <v>400</v>
      </c>
      <c r="L38" s="17">
        <v>400</v>
      </c>
      <c r="M38" s="17">
        <v>400</v>
      </c>
      <c r="N38" s="21">
        <f t="shared" si="15"/>
        <v>2700</v>
      </c>
      <c r="P38" s="17">
        <v>2550</v>
      </c>
      <c r="Q38" s="27"/>
    </row>
    <row r="39" spans="1:17" x14ac:dyDescent="0.3">
      <c r="A39" s="5" t="s">
        <v>35</v>
      </c>
      <c r="B39" s="16"/>
      <c r="C39" s="20">
        <v>0</v>
      </c>
      <c r="D39" s="16"/>
      <c r="E39" s="17"/>
      <c r="F39" s="17"/>
      <c r="G39" s="17">
        <v>50</v>
      </c>
      <c r="H39" s="17"/>
      <c r="I39" s="17"/>
      <c r="J39" s="17">
        <v>50</v>
      </c>
      <c r="K39" s="17"/>
      <c r="L39" s="17"/>
      <c r="M39" s="17">
        <v>50</v>
      </c>
      <c r="N39" s="21">
        <f t="shared" si="15"/>
        <v>150</v>
      </c>
      <c r="P39" s="17">
        <v>153.68</v>
      </c>
      <c r="Q39" s="27"/>
    </row>
    <row r="40" spans="1:17" x14ac:dyDescent="0.3">
      <c r="A40" s="5" t="s">
        <v>36</v>
      </c>
      <c r="B40" s="20">
        <v>411.61</v>
      </c>
      <c r="C40" s="20">
        <v>2118.5</v>
      </c>
      <c r="D40" s="20">
        <v>1906.46</v>
      </c>
      <c r="E40" s="21">
        <v>750</v>
      </c>
      <c r="F40" s="21">
        <v>300</v>
      </c>
      <c r="G40" s="21">
        <v>1200</v>
      </c>
      <c r="H40" s="21">
        <v>900</v>
      </c>
      <c r="I40" s="21">
        <v>100</v>
      </c>
      <c r="J40" s="21">
        <v>500</v>
      </c>
      <c r="K40" s="21">
        <v>100</v>
      </c>
      <c r="L40" s="21">
        <v>100</v>
      </c>
      <c r="M40" s="21">
        <v>0</v>
      </c>
      <c r="N40" s="21">
        <f t="shared" si="15"/>
        <v>8386.57</v>
      </c>
      <c r="P40" s="21">
        <v>14578.74</v>
      </c>
      <c r="Q40" s="27"/>
    </row>
    <row r="41" spans="1:17" x14ac:dyDescent="0.3">
      <c r="A41" s="5" t="s">
        <v>37</v>
      </c>
      <c r="B41" s="20">
        <v>118.14</v>
      </c>
      <c r="C41" s="20">
        <v>118.14</v>
      </c>
      <c r="D41" s="20">
        <v>98.5</v>
      </c>
      <c r="E41" s="21">
        <v>375</v>
      </c>
      <c r="F41" s="21">
        <v>375</v>
      </c>
      <c r="G41" s="21">
        <v>375</v>
      </c>
      <c r="H41" s="21">
        <v>375</v>
      </c>
      <c r="I41" s="21">
        <v>375</v>
      </c>
      <c r="J41" s="21">
        <v>375</v>
      </c>
      <c r="K41" s="21">
        <v>375</v>
      </c>
      <c r="L41" s="21">
        <v>375</v>
      </c>
      <c r="M41" s="21">
        <v>375</v>
      </c>
      <c r="N41" s="21">
        <f t="shared" si="15"/>
        <v>3709.7799999999997</v>
      </c>
      <c r="P41" s="21">
        <v>3607.22</v>
      </c>
      <c r="Q41" s="27"/>
    </row>
    <row r="42" spans="1:17" x14ac:dyDescent="0.3">
      <c r="A42" s="5" t="s">
        <v>38</v>
      </c>
      <c r="B42" s="20">
        <v>846.91</v>
      </c>
      <c r="C42" s="20">
        <v>444.41</v>
      </c>
      <c r="D42" s="20">
        <v>699.17</v>
      </c>
      <c r="E42" s="21">
        <v>500</v>
      </c>
      <c r="F42" s="21">
        <v>500</v>
      </c>
      <c r="G42" s="21">
        <v>500</v>
      </c>
      <c r="H42" s="21">
        <v>500</v>
      </c>
      <c r="I42" s="21">
        <v>500</v>
      </c>
      <c r="J42" s="21">
        <v>500</v>
      </c>
      <c r="K42" s="21">
        <v>500</v>
      </c>
      <c r="L42" s="21">
        <v>500</v>
      </c>
      <c r="M42" s="21">
        <v>500</v>
      </c>
      <c r="N42" s="21">
        <f t="shared" si="15"/>
        <v>6490.49</v>
      </c>
      <c r="P42" s="21">
        <v>3699.04</v>
      </c>
      <c r="Q42" s="27"/>
    </row>
    <row r="43" spans="1:17" x14ac:dyDescent="0.3">
      <c r="A43" s="5" t="s">
        <v>39</v>
      </c>
      <c r="B43" s="20">
        <v>1005</v>
      </c>
      <c r="C43" s="20">
        <f>1005</f>
        <v>1005</v>
      </c>
      <c r="D43" s="16">
        <v>1005</v>
      </c>
      <c r="E43" s="21">
        <v>1005</v>
      </c>
      <c r="F43" s="21">
        <v>1005</v>
      </c>
      <c r="G43" s="21">
        <v>1005</v>
      </c>
      <c r="H43" s="21">
        <v>1005</v>
      </c>
      <c r="I43" s="21">
        <v>1005</v>
      </c>
      <c r="J43" s="21">
        <v>1005</v>
      </c>
      <c r="K43" s="21">
        <v>1005</v>
      </c>
      <c r="L43" s="21">
        <v>1005</v>
      </c>
      <c r="M43" s="21">
        <v>1005</v>
      </c>
      <c r="N43" s="21">
        <f t="shared" si="15"/>
        <v>12060</v>
      </c>
      <c r="P43" s="21">
        <v>28255</v>
      </c>
      <c r="Q43" s="27"/>
    </row>
    <row r="44" spans="1:17" x14ac:dyDescent="0.3">
      <c r="A44" s="5" t="s">
        <v>40</v>
      </c>
      <c r="B44" s="20"/>
      <c r="C44" s="20">
        <v>198</v>
      </c>
      <c r="D44" s="20">
        <v>0</v>
      </c>
      <c r="E44" s="21">
        <v>115</v>
      </c>
      <c r="F44" s="21">
        <v>115</v>
      </c>
      <c r="G44" s="21">
        <v>115</v>
      </c>
      <c r="H44" s="21">
        <v>115</v>
      </c>
      <c r="I44" s="21">
        <v>115</v>
      </c>
      <c r="J44" s="21">
        <v>115</v>
      </c>
      <c r="K44" s="21">
        <v>115</v>
      </c>
      <c r="L44" s="21">
        <v>115</v>
      </c>
      <c r="M44" s="21">
        <v>115</v>
      </c>
      <c r="N44" s="21">
        <f t="shared" si="15"/>
        <v>1233</v>
      </c>
      <c r="P44" s="21">
        <v>1440.79</v>
      </c>
      <c r="Q44" s="27"/>
    </row>
    <row r="45" spans="1:17" x14ac:dyDescent="0.3">
      <c r="A45" s="5" t="s">
        <v>41</v>
      </c>
      <c r="B45" s="16"/>
      <c r="C45" s="16"/>
      <c r="D45" s="16"/>
      <c r="E45" s="17"/>
      <c r="F45" s="21"/>
      <c r="G45" s="17"/>
      <c r="H45" s="17"/>
      <c r="I45" s="21"/>
      <c r="J45" s="21"/>
      <c r="K45" s="21"/>
      <c r="L45" s="21"/>
      <c r="M45" s="17"/>
      <c r="N45" s="21">
        <f t="shared" si="15"/>
        <v>0</v>
      </c>
      <c r="P45" s="17">
        <v>5895.86</v>
      </c>
      <c r="Q45" s="27"/>
    </row>
    <row r="46" spans="1:17" x14ac:dyDescent="0.3">
      <c r="A46" s="5" t="s">
        <v>42</v>
      </c>
      <c r="B46" s="16">
        <v>502.15</v>
      </c>
      <c r="C46" s="16">
        <v>502.15</v>
      </c>
      <c r="D46" s="20">
        <v>1004.3</v>
      </c>
      <c r="E46" s="17">
        <v>0</v>
      </c>
      <c r="F46" s="17">
        <v>500</v>
      </c>
      <c r="G46" s="21">
        <v>500</v>
      </c>
      <c r="H46" s="17">
        <v>500</v>
      </c>
      <c r="I46" s="17">
        <v>500</v>
      </c>
      <c r="J46" s="17">
        <v>500</v>
      </c>
      <c r="K46" s="17">
        <v>500</v>
      </c>
      <c r="L46" s="17">
        <v>500</v>
      </c>
      <c r="M46" s="21">
        <v>500</v>
      </c>
      <c r="N46" s="21">
        <f t="shared" si="15"/>
        <v>6008.6</v>
      </c>
      <c r="P46" s="21">
        <v>3816.16</v>
      </c>
      <c r="Q46" s="27"/>
    </row>
    <row r="47" spans="1:17" ht="21.6" x14ac:dyDescent="0.3">
      <c r="A47" s="5" t="s">
        <v>43</v>
      </c>
      <c r="B47" s="20"/>
      <c r="C47" s="20">
        <v>500.2</v>
      </c>
      <c r="D47" s="20">
        <v>717.62</v>
      </c>
      <c r="E47" s="21">
        <v>730</v>
      </c>
      <c r="F47" s="21">
        <v>730</v>
      </c>
      <c r="G47" s="21">
        <v>730</v>
      </c>
      <c r="H47" s="21">
        <v>730</v>
      </c>
      <c r="I47" s="21">
        <v>730</v>
      </c>
      <c r="J47" s="21">
        <v>730</v>
      </c>
      <c r="K47" s="21">
        <v>730</v>
      </c>
      <c r="L47" s="21">
        <v>730</v>
      </c>
      <c r="M47" s="21">
        <v>730</v>
      </c>
      <c r="N47" s="21">
        <f t="shared" si="15"/>
        <v>7787.82</v>
      </c>
      <c r="P47" s="21">
        <v>19439.599999999999</v>
      </c>
      <c r="Q47" s="27"/>
    </row>
    <row r="48" spans="1:17" x14ac:dyDescent="0.3">
      <c r="A48" s="5" t="s">
        <v>44</v>
      </c>
      <c r="B48" s="20">
        <v>1128.04</v>
      </c>
      <c r="C48" s="20">
        <v>839.07</v>
      </c>
      <c r="D48" s="20">
        <v>839.07</v>
      </c>
      <c r="E48" s="21">
        <v>830</v>
      </c>
      <c r="F48" s="21">
        <v>830</v>
      </c>
      <c r="G48" s="21">
        <v>830</v>
      </c>
      <c r="H48" s="21">
        <v>830</v>
      </c>
      <c r="I48" s="21">
        <v>830</v>
      </c>
      <c r="J48" s="21">
        <v>830</v>
      </c>
      <c r="K48" s="21">
        <v>830</v>
      </c>
      <c r="L48" s="21">
        <v>830</v>
      </c>
      <c r="M48" s="21">
        <v>830</v>
      </c>
      <c r="N48" s="21">
        <f t="shared" si="15"/>
        <v>10276.18</v>
      </c>
      <c r="P48" s="21">
        <v>9848.67</v>
      </c>
      <c r="Q48" s="27"/>
    </row>
    <row r="49" spans="1:17" x14ac:dyDescent="0.3">
      <c r="A49" s="5" t="s">
        <v>45</v>
      </c>
      <c r="B49" s="16">
        <v>97.79</v>
      </c>
      <c r="C49" s="20">
        <v>0</v>
      </c>
      <c r="D49" s="16">
        <v>73.209999999999994</v>
      </c>
      <c r="E49" s="21">
        <v>950</v>
      </c>
      <c r="F49" s="21">
        <v>950</v>
      </c>
      <c r="G49" s="21">
        <v>950</v>
      </c>
      <c r="H49" s="21">
        <v>950</v>
      </c>
      <c r="I49" s="21">
        <v>950</v>
      </c>
      <c r="J49" s="21">
        <v>950</v>
      </c>
      <c r="K49" s="21">
        <v>950</v>
      </c>
      <c r="L49" s="21">
        <v>950</v>
      </c>
      <c r="M49" s="21">
        <v>950</v>
      </c>
      <c r="N49" s="21">
        <f t="shared" si="15"/>
        <v>8721</v>
      </c>
      <c r="P49" s="21">
        <v>14804.65</v>
      </c>
      <c r="Q49" s="27"/>
    </row>
    <row r="50" spans="1:17" x14ac:dyDescent="0.3">
      <c r="A50" s="5" t="s">
        <v>46</v>
      </c>
      <c r="B50" s="20">
        <v>487.36</v>
      </c>
      <c r="C50" s="20">
        <v>520.28</v>
      </c>
      <c r="D50" s="20">
        <v>424.62</v>
      </c>
      <c r="E50" s="21">
        <f>7777*0.107*1.15</f>
        <v>956.95984999999996</v>
      </c>
      <c r="F50" s="21">
        <f>7777*0.034*1.15</f>
        <v>304.08069999999998</v>
      </c>
      <c r="G50" s="21">
        <f>7777*0.207*1.15</f>
        <v>1851.3148499999998</v>
      </c>
      <c r="H50" s="21">
        <f>7777*0.09*1.15</f>
        <v>804.91949999999986</v>
      </c>
      <c r="I50" s="21">
        <v>500</v>
      </c>
      <c r="J50" s="21">
        <f>7777*0.02*1.15+500</f>
        <v>678.87099999999998</v>
      </c>
      <c r="K50" s="21">
        <f>7777*0.061*1.15</f>
        <v>545.5565499999999</v>
      </c>
      <c r="L50" s="21">
        <f>7777*0.234*1.15</f>
        <v>2092.7907</v>
      </c>
      <c r="M50" s="21">
        <f>7777*0.05*1.15</f>
        <v>447.17750000000001</v>
      </c>
      <c r="N50" s="21">
        <f t="shared" si="15"/>
        <v>9613.9306500000002</v>
      </c>
      <c r="P50" s="21">
        <v>7406.87</v>
      </c>
      <c r="Q50" s="27"/>
    </row>
    <row r="51" spans="1:17" x14ac:dyDescent="0.3">
      <c r="A51" s="5" t="s">
        <v>47</v>
      </c>
      <c r="B51" s="20">
        <v>1110.47</v>
      </c>
      <c r="C51" s="20">
        <v>0</v>
      </c>
      <c r="D51" s="20">
        <v>0</v>
      </c>
      <c r="E51" s="21">
        <v>350</v>
      </c>
      <c r="F51" s="21">
        <v>350</v>
      </c>
      <c r="G51" s="21">
        <v>350</v>
      </c>
      <c r="H51" s="21">
        <v>350</v>
      </c>
      <c r="I51" s="21">
        <v>350</v>
      </c>
      <c r="J51" s="21">
        <v>350</v>
      </c>
      <c r="K51" s="21">
        <v>350</v>
      </c>
      <c r="L51" s="21">
        <v>350</v>
      </c>
      <c r="M51" s="21">
        <v>350</v>
      </c>
      <c r="N51" s="21">
        <f t="shared" si="15"/>
        <v>4260.47</v>
      </c>
      <c r="P51" s="21">
        <v>4109.91</v>
      </c>
      <c r="Q51" s="27"/>
    </row>
    <row r="52" spans="1:17" x14ac:dyDescent="0.3">
      <c r="A52" s="5" t="s">
        <v>48</v>
      </c>
      <c r="B52" s="16"/>
      <c r="C52" s="20">
        <v>0</v>
      </c>
      <c r="D52" s="16"/>
      <c r="E52" s="17"/>
      <c r="F52" s="21">
        <v>1040</v>
      </c>
      <c r="G52" s="21"/>
      <c r="H52" s="17"/>
      <c r="I52" s="17"/>
      <c r="J52" s="17"/>
      <c r="K52" s="17"/>
      <c r="L52" s="17"/>
      <c r="M52" s="17"/>
      <c r="N52" s="21">
        <f t="shared" si="15"/>
        <v>1040</v>
      </c>
      <c r="P52" s="17">
        <v>990.49</v>
      </c>
      <c r="Q52" s="27"/>
    </row>
    <row r="53" spans="1:17" x14ac:dyDescent="0.3">
      <c r="A53" s="5" t="s">
        <v>49</v>
      </c>
      <c r="B53" s="20">
        <v>1450</v>
      </c>
      <c r="C53" s="20">
        <v>1450</v>
      </c>
      <c r="D53" s="20">
        <v>1450</v>
      </c>
      <c r="E53" s="21">
        <v>1450</v>
      </c>
      <c r="F53" s="21">
        <v>1450</v>
      </c>
      <c r="G53" s="21">
        <v>1450</v>
      </c>
      <c r="H53" s="21">
        <v>1450</v>
      </c>
      <c r="I53" s="21">
        <v>1450</v>
      </c>
      <c r="J53" s="21">
        <v>1450</v>
      </c>
      <c r="K53" s="21">
        <v>1450</v>
      </c>
      <c r="L53" s="21">
        <v>1450</v>
      </c>
      <c r="M53" s="21">
        <v>1450</v>
      </c>
      <c r="N53" s="21">
        <f t="shared" si="15"/>
        <v>17400</v>
      </c>
      <c r="P53" s="21">
        <v>30947</v>
      </c>
      <c r="Q53" s="27"/>
    </row>
    <row r="54" spans="1:17" x14ac:dyDescent="0.3">
      <c r="A54" s="5" t="s">
        <v>50</v>
      </c>
      <c r="B54" s="16"/>
      <c r="C54" s="20">
        <v>0</v>
      </c>
      <c r="D54" s="16"/>
      <c r="E54" s="17"/>
      <c r="F54" s="17"/>
      <c r="G54" s="21">
        <v>1500</v>
      </c>
      <c r="H54" s="17"/>
      <c r="I54" s="17"/>
      <c r="J54" s="17">
        <v>1500</v>
      </c>
      <c r="K54" s="17"/>
      <c r="L54" s="17"/>
      <c r="M54" s="17">
        <v>1500</v>
      </c>
      <c r="N54" s="21">
        <f t="shared" si="15"/>
        <v>4500</v>
      </c>
      <c r="P54" s="17">
        <v>3855</v>
      </c>
      <c r="Q54" s="27"/>
    </row>
    <row r="55" spans="1:17" x14ac:dyDescent="0.3">
      <c r="A55" s="5" t="s">
        <v>51</v>
      </c>
      <c r="B55" s="16"/>
      <c r="C55" s="16">
        <v>262.95999999999998</v>
      </c>
      <c r="D55" s="16"/>
      <c r="E55" s="17"/>
      <c r="F55" s="17"/>
      <c r="G55" s="17"/>
      <c r="H55" s="17"/>
      <c r="I55" s="17"/>
      <c r="J55" s="17"/>
      <c r="K55" s="17"/>
      <c r="L55" s="17"/>
      <c r="M55" s="21"/>
      <c r="N55" s="21">
        <f t="shared" si="15"/>
        <v>262.95999999999998</v>
      </c>
      <c r="P55" s="21">
        <v>-400</v>
      </c>
      <c r="Q55" s="27"/>
    </row>
    <row r="56" spans="1:17" x14ac:dyDescent="0.3">
      <c r="A56" s="5" t="s">
        <v>52</v>
      </c>
      <c r="B56" s="16"/>
      <c r="C56" s="16"/>
      <c r="D56" s="16"/>
      <c r="E56" s="17"/>
      <c r="F56" s="17">
        <v>4400</v>
      </c>
      <c r="G56" s="17">
        <v>4400</v>
      </c>
      <c r="H56" s="17">
        <v>4400</v>
      </c>
      <c r="I56" s="17">
        <v>4400</v>
      </c>
      <c r="J56" s="17">
        <v>4400</v>
      </c>
      <c r="K56" s="17">
        <v>4400</v>
      </c>
      <c r="L56" s="17">
        <v>4400</v>
      </c>
      <c r="M56" s="17">
        <v>4400</v>
      </c>
      <c r="N56" s="21">
        <f t="shared" si="15"/>
        <v>35200</v>
      </c>
      <c r="P56" s="17">
        <v>7250</v>
      </c>
      <c r="Q56" s="27"/>
    </row>
    <row r="57" spans="1:17" x14ac:dyDescent="0.3">
      <c r="A57" s="5" t="s">
        <v>53</v>
      </c>
      <c r="B57" s="16"/>
      <c r="C57" s="16"/>
      <c r="D57" s="16"/>
      <c r="E57" s="17"/>
      <c r="F57" s="21">
        <v>5500</v>
      </c>
      <c r="G57" s="21">
        <v>5500</v>
      </c>
      <c r="H57" s="21">
        <v>5500</v>
      </c>
      <c r="I57" s="21">
        <v>5500</v>
      </c>
      <c r="J57" s="21">
        <v>5500</v>
      </c>
      <c r="K57" s="21">
        <v>5500</v>
      </c>
      <c r="L57" s="21">
        <v>5500</v>
      </c>
      <c r="M57" s="21">
        <v>5500</v>
      </c>
      <c r="N57" s="21">
        <f t="shared" si="15"/>
        <v>44000</v>
      </c>
      <c r="P57" s="21">
        <v>42592.24</v>
      </c>
      <c r="Q57" s="27"/>
    </row>
    <row r="58" spans="1:17" x14ac:dyDescent="0.3">
      <c r="A58" s="5" t="s">
        <v>54</v>
      </c>
      <c r="B58" s="20">
        <v>939.8</v>
      </c>
      <c r="C58" s="20">
        <v>293.74</v>
      </c>
      <c r="D58" s="20">
        <v>232.58</v>
      </c>
      <c r="E58" s="21">
        <v>325</v>
      </c>
      <c r="F58" s="21">
        <v>325</v>
      </c>
      <c r="G58" s="21">
        <v>325</v>
      </c>
      <c r="H58" s="21">
        <v>325</v>
      </c>
      <c r="I58" s="21">
        <v>325</v>
      </c>
      <c r="J58" s="21">
        <v>325</v>
      </c>
      <c r="K58" s="21">
        <v>325</v>
      </c>
      <c r="L58" s="21">
        <v>325</v>
      </c>
      <c r="M58" s="21">
        <v>325</v>
      </c>
      <c r="N58" s="21">
        <f t="shared" si="15"/>
        <v>4391.12</v>
      </c>
      <c r="P58" s="21">
        <v>4162.84</v>
      </c>
      <c r="Q58" s="27"/>
    </row>
    <row r="59" spans="1:17" x14ac:dyDescent="0.3">
      <c r="A59" s="5" t="s">
        <v>55</v>
      </c>
      <c r="B59" s="20">
        <v>32.57</v>
      </c>
      <c r="C59" s="20">
        <v>250</v>
      </c>
      <c r="D59" s="20">
        <v>0</v>
      </c>
      <c r="E59" s="21"/>
      <c r="F59" s="21"/>
      <c r="G59" s="21">
        <v>500</v>
      </c>
      <c r="H59" s="21"/>
      <c r="I59" s="21"/>
      <c r="J59" s="21">
        <v>500</v>
      </c>
      <c r="K59" s="21"/>
      <c r="L59" s="21"/>
      <c r="M59" s="21">
        <v>1000</v>
      </c>
      <c r="N59" s="21">
        <f t="shared" si="15"/>
        <v>2282.5699999999997</v>
      </c>
      <c r="P59" s="21">
        <v>6173.43</v>
      </c>
      <c r="Q59" s="27"/>
    </row>
    <row r="60" spans="1:17" x14ac:dyDescent="0.3">
      <c r="A60" s="5" t="s">
        <v>56</v>
      </c>
      <c r="B60" s="20"/>
      <c r="C60" s="20">
        <v>0</v>
      </c>
      <c r="D60" s="20">
        <v>58.23</v>
      </c>
      <c r="E60" s="17"/>
      <c r="F60" s="21"/>
      <c r="G60" s="21">
        <v>100</v>
      </c>
      <c r="H60" s="17"/>
      <c r="I60" s="21"/>
      <c r="J60" s="17">
        <v>100</v>
      </c>
      <c r="K60" s="21"/>
      <c r="L60" s="21"/>
      <c r="M60" s="17">
        <v>100</v>
      </c>
      <c r="N60" s="21">
        <f t="shared" si="15"/>
        <v>358.23</v>
      </c>
      <c r="P60" s="17">
        <v>374.47</v>
      </c>
      <c r="Q60" s="27"/>
    </row>
    <row r="61" spans="1:17" x14ac:dyDescent="0.3">
      <c r="A61" s="5" t="s">
        <v>57</v>
      </c>
      <c r="B61" s="20">
        <v>1276.08</v>
      </c>
      <c r="C61" s="20">
        <v>1276.08</v>
      </c>
      <c r="D61" s="20">
        <v>1276.0899999999999</v>
      </c>
      <c r="E61" s="21">
        <v>1500</v>
      </c>
      <c r="F61" s="21">
        <v>1500</v>
      </c>
      <c r="G61" s="21">
        <v>1500</v>
      </c>
      <c r="H61" s="21">
        <v>1500</v>
      </c>
      <c r="I61" s="21">
        <v>1500</v>
      </c>
      <c r="J61" s="21">
        <v>1500</v>
      </c>
      <c r="K61" s="21">
        <v>1500</v>
      </c>
      <c r="L61" s="21">
        <v>1500</v>
      </c>
      <c r="M61" s="21">
        <v>1500</v>
      </c>
      <c r="N61" s="21">
        <f t="shared" si="15"/>
        <v>17328.25</v>
      </c>
      <c r="P61" s="21">
        <v>13102.29</v>
      </c>
      <c r="Q61" s="27"/>
    </row>
    <row r="62" spans="1:17" x14ac:dyDescent="0.3">
      <c r="A62" s="5" t="s">
        <v>58</v>
      </c>
      <c r="B62" s="20"/>
      <c r="C62" s="16"/>
      <c r="D62" s="20">
        <v>314.61</v>
      </c>
      <c r="E62" s="21"/>
      <c r="F62" s="21"/>
      <c r="G62" s="21">
        <v>1200</v>
      </c>
      <c r="H62" s="21"/>
      <c r="I62" s="17"/>
      <c r="J62" s="17">
        <v>1200</v>
      </c>
      <c r="K62" s="17"/>
      <c r="L62" s="17"/>
      <c r="M62" s="17">
        <v>1200</v>
      </c>
      <c r="N62" s="21">
        <f t="shared" si="15"/>
        <v>3914.61</v>
      </c>
      <c r="P62" s="17">
        <v>5232.3500000000004</v>
      </c>
      <c r="Q62" s="27"/>
    </row>
    <row r="63" spans="1:17" x14ac:dyDescent="0.3">
      <c r="A63" s="5" t="s">
        <v>59</v>
      </c>
      <c r="B63" s="20">
        <v>271.22000000000003</v>
      </c>
      <c r="C63" s="20">
        <v>605.44000000000005</v>
      </c>
      <c r="D63" s="20">
        <v>453.95</v>
      </c>
      <c r="E63" s="21">
        <v>1375</v>
      </c>
      <c r="F63" s="21">
        <v>1375</v>
      </c>
      <c r="G63" s="21">
        <v>1375</v>
      </c>
      <c r="H63" s="21">
        <v>1375</v>
      </c>
      <c r="I63" s="21">
        <v>1375</v>
      </c>
      <c r="J63" s="21">
        <v>1375</v>
      </c>
      <c r="K63" s="21">
        <v>1375</v>
      </c>
      <c r="L63" s="21">
        <v>1375</v>
      </c>
      <c r="M63" s="21">
        <v>1375</v>
      </c>
      <c r="N63" s="21">
        <f t="shared" si="15"/>
        <v>13705.61</v>
      </c>
      <c r="P63" s="21">
        <v>14098.18</v>
      </c>
      <c r="Q63" s="27"/>
    </row>
    <row r="64" spans="1:17" x14ac:dyDescent="0.3">
      <c r="A64" s="5" t="s">
        <v>60</v>
      </c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P64" s="21">
        <v>20091.91</v>
      </c>
      <c r="Q64" s="27"/>
    </row>
    <row r="65" spans="1:18" x14ac:dyDescent="0.3">
      <c r="A65" s="5" t="s">
        <v>61</v>
      </c>
      <c r="B65" s="16"/>
      <c r="C65" s="16"/>
      <c r="D65" s="16"/>
      <c r="E65" s="17"/>
      <c r="F65" s="17"/>
      <c r="G65" s="17"/>
      <c r="H65" s="17"/>
      <c r="I65" s="17"/>
      <c r="J65" s="21"/>
      <c r="K65" s="17"/>
      <c r="L65" s="17"/>
      <c r="M65" s="17"/>
      <c r="N65" s="21">
        <f t="shared" si="15"/>
        <v>0</v>
      </c>
      <c r="P65" s="17">
        <v>90.55</v>
      </c>
      <c r="Q65" s="27"/>
    </row>
    <row r="66" spans="1:18" x14ac:dyDescent="0.3">
      <c r="A66" s="5" t="s">
        <v>62</v>
      </c>
      <c r="B66" s="20"/>
      <c r="C66" s="20">
        <v>0</v>
      </c>
      <c r="D66" s="20">
        <v>0</v>
      </c>
      <c r="E66" s="21"/>
      <c r="F66" s="17"/>
      <c r="G66" s="21">
        <v>500</v>
      </c>
      <c r="H66" s="17"/>
      <c r="I66" s="21"/>
      <c r="J66" s="17">
        <v>500</v>
      </c>
      <c r="K66" s="17"/>
      <c r="L66" s="17"/>
      <c r="M66" s="17">
        <v>500</v>
      </c>
      <c r="N66" s="21">
        <f t="shared" si="15"/>
        <v>1500</v>
      </c>
      <c r="P66" s="17">
        <v>1469.3</v>
      </c>
      <c r="Q66" s="27"/>
    </row>
    <row r="67" spans="1:18" x14ac:dyDescent="0.3">
      <c r="A67" s="5" t="s">
        <v>63</v>
      </c>
      <c r="B67" s="16">
        <v>365.93</v>
      </c>
      <c r="C67" s="16">
        <v>688.11</v>
      </c>
      <c r="D67" s="16">
        <v>15.79</v>
      </c>
      <c r="E67" s="17"/>
      <c r="F67" s="17"/>
      <c r="G67" s="21"/>
      <c r="H67" s="17"/>
      <c r="I67" s="17"/>
      <c r="J67" s="21"/>
      <c r="K67" s="17"/>
      <c r="L67" s="17"/>
      <c r="M67" s="17"/>
      <c r="N67" s="21">
        <f t="shared" si="15"/>
        <v>1069.83</v>
      </c>
      <c r="P67" s="17">
        <v>2266.4299999999998</v>
      </c>
      <c r="Q67" s="27"/>
    </row>
    <row r="68" spans="1:18" x14ac:dyDescent="0.3">
      <c r="A68" s="5" t="s">
        <v>64</v>
      </c>
      <c r="B68" s="22">
        <f>SUM(B31:B67)</f>
        <v>11868.379999999997</v>
      </c>
      <c r="C68" s="22">
        <f t="shared" ref="C68:M68" si="16">SUM(C31:C67)</f>
        <v>13061.14</v>
      </c>
      <c r="D68" s="22">
        <f t="shared" si="16"/>
        <v>11863.650000000001</v>
      </c>
      <c r="E68" s="23">
        <f t="shared" si="16"/>
        <v>18125.543850000002</v>
      </c>
      <c r="F68" s="23">
        <f t="shared" si="16"/>
        <v>28556.481700000004</v>
      </c>
      <c r="G68" s="23">
        <f t="shared" si="16"/>
        <v>30804.386849999999</v>
      </c>
      <c r="H68" s="23">
        <f t="shared" si="16"/>
        <v>27209.606500000002</v>
      </c>
      <c r="I68" s="23">
        <f t="shared" si="16"/>
        <v>26026.647000000001</v>
      </c>
      <c r="J68" s="23">
        <f t="shared" si="16"/>
        <v>27822.845000000001</v>
      </c>
      <c r="K68" s="23">
        <f t="shared" si="16"/>
        <v>25325.623549999997</v>
      </c>
      <c r="L68" s="23">
        <f t="shared" si="16"/>
        <v>24214.9457</v>
      </c>
      <c r="M68" s="23">
        <f t="shared" si="16"/>
        <v>27075.924500000001</v>
      </c>
      <c r="N68" s="23">
        <f t="shared" ref="N68" si="17">(((((((((((B68)+(C68))+(D68))+(E68))+(F68))+(G68))+(H68))+(I68))+(J68))+(K68))+(L68))+(M68)</f>
        <v>271955.17465</v>
      </c>
      <c r="O68" s="15">
        <f>SUM(B68:M68)</f>
        <v>271955.17465</v>
      </c>
      <c r="P68" s="23">
        <f t="shared" ref="P68" si="18">SUM(P31:P67)</f>
        <v>322698.18999999983</v>
      </c>
      <c r="Q68" s="27"/>
    </row>
    <row r="69" spans="1:18" x14ac:dyDescent="0.3">
      <c r="A69" s="5" t="s">
        <v>65</v>
      </c>
      <c r="B69" s="22">
        <f>B68+B28</f>
        <v>46805.82</v>
      </c>
      <c r="C69" s="22">
        <f t="shared" ref="C69:P69" si="19">C68+C28</f>
        <v>40882.14</v>
      </c>
      <c r="D69" s="22">
        <f t="shared" si="19"/>
        <v>64632.35</v>
      </c>
      <c r="E69" s="23">
        <f t="shared" si="19"/>
        <v>69451.943850000011</v>
      </c>
      <c r="F69" s="23">
        <f t="shared" si="19"/>
        <v>82546.881699999998</v>
      </c>
      <c r="G69" s="23">
        <f t="shared" si="19"/>
        <v>95045.186849999998</v>
      </c>
      <c r="H69" s="23">
        <f t="shared" si="19"/>
        <v>97950.806500000006</v>
      </c>
      <c r="I69" s="23">
        <f t="shared" si="19"/>
        <v>96767.847000000009</v>
      </c>
      <c r="J69" s="23">
        <f t="shared" si="19"/>
        <v>98564.045000000013</v>
      </c>
      <c r="K69" s="23">
        <f t="shared" si="19"/>
        <v>96066.823550000001</v>
      </c>
      <c r="L69" s="23">
        <f t="shared" si="19"/>
        <v>94956.145700000008</v>
      </c>
      <c r="M69" s="23">
        <f t="shared" si="19"/>
        <v>97817.124500000005</v>
      </c>
      <c r="N69" s="23">
        <f t="shared" si="19"/>
        <v>981487.11464999989</v>
      </c>
      <c r="O69" s="15">
        <f>SUM(B69:M69)</f>
        <v>981487.11465</v>
      </c>
      <c r="P69" s="23">
        <f t="shared" si="19"/>
        <v>870326.37999999989</v>
      </c>
      <c r="Q69" s="27"/>
    </row>
    <row r="70" spans="1:18" x14ac:dyDescent="0.3">
      <c r="A70" s="5" t="s">
        <v>66</v>
      </c>
      <c r="B70" s="22">
        <f>(B17)-(B69)</f>
        <v>39294.120000000003</v>
      </c>
      <c r="C70" s="22">
        <f t="shared" ref="C70:M70" si="20">(C17)-(C69)</f>
        <v>677297.12</v>
      </c>
      <c r="D70" s="22">
        <f t="shared" si="20"/>
        <v>-12278.720000000001</v>
      </c>
      <c r="E70" s="23">
        <f t="shared" si="20"/>
        <v>-31321.943850000011</v>
      </c>
      <c r="F70" s="23">
        <f t="shared" si="20"/>
        <v>-43761.881699999998</v>
      </c>
      <c r="G70" s="23">
        <f t="shared" si="20"/>
        <v>-46800.186849999998</v>
      </c>
      <c r="H70" s="23">
        <f t="shared" si="20"/>
        <v>-59154.806500000006</v>
      </c>
      <c r="I70" s="23">
        <f t="shared" si="20"/>
        <v>-52395.847000000009</v>
      </c>
      <c r="J70" s="23">
        <f t="shared" si="20"/>
        <v>-42219.045000000013</v>
      </c>
      <c r="K70" s="23">
        <f t="shared" si="20"/>
        <v>-42663.823550000001</v>
      </c>
      <c r="L70" s="23">
        <f t="shared" si="20"/>
        <v>-39741.145700000008</v>
      </c>
      <c r="M70" s="23">
        <f t="shared" si="20"/>
        <v>16859.135499999989</v>
      </c>
      <c r="N70" s="23">
        <f>(N18)-(N69)</f>
        <v>363112.9753500002</v>
      </c>
      <c r="O70" s="15">
        <f>SUM(B70:M70)</f>
        <v>363112.97534999985</v>
      </c>
      <c r="P70" s="23">
        <f>(P18)-(P69)</f>
        <v>43157.950000000186</v>
      </c>
      <c r="Q70" s="27"/>
    </row>
    <row r="71" spans="1:18" x14ac:dyDescent="0.3">
      <c r="A71" s="5"/>
      <c r="B71" s="24"/>
      <c r="C71" s="24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P71" s="25"/>
      <c r="Q71" s="27"/>
    </row>
    <row r="72" spans="1:18" x14ac:dyDescent="0.3">
      <c r="A72" s="5" t="s">
        <v>67</v>
      </c>
      <c r="B72" s="16"/>
      <c r="C72" s="16"/>
      <c r="D72" s="16"/>
      <c r="E72" s="17"/>
      <c r="F72" s="17"/>
      <c r="G72" s="17"/>
      <c r="H72" s="17"/>
      <c r="I72" s="17"/>
      <c r="J72" s="17"/>
      <c r="K72" s="17"/>
      <c r="L72" s="17"/>
      <c r="M72" s="17"/>
      <c r="N72" s="17"/>
      <c r="P72" s="17"/>
      <c r="Q72" s="27"/>
    </row>
    <row r="73" spans="1:18" x14ac:dyDescent="0.3">
      <c r="A73" s="5" t="s">
        <v>68</v>
      </c>
      <c r="B73" s="20">
        <v>0.14000000000000001</v>
      </c>
      <c r="C73" s="20">
        <v>97.88</v>
      </c>
      <c r="D73" s="20">
        <v>1515.31</v>
      </c>
      <c r="E73" s="21">
        <v>500</v>
      </c>
      <c r="F73" s="21">
        <v>500</v>
      </c>
      <c r="G73" s="21">
        <v>500</v>
      </c>
      <c r="H73" s="21">
        <v>500</v>
      </c>
      <c r="I73" s="21">
        <v>500</v>
      </c>
      <c r="J73" s="21">
        <v>500</v>
      </c>
      <c r="K73" s="21">
        <v>500</v>
      </c>
      <c r="L73" s="21">
        <v>500</v>
      </c>
      <c r="M73" s="21">
        <v>500</v>
      </c>
      <c r="N73" s="21">
        <f t="shared" ref="N73:N76" si="21">SUM(B73:M73)</f>
        <v>6113.33</v>
      </c>
      <c r="O73" s="15">
        <f>SUM(B73:M73)</f>
        <v>6113.33</v>
      </c>
      <c r="P73" s="21">
        <v>7.65</v>
      </c>
      <c r="Q73" s="27"/>
    </row>
    <row r="74" spans="1:18" x14ac:dyDescent="0.3">
      <c r="A74" s="5" t="s">
        <v>69</v>
      </c>
      <c r="B74" s="16"/>
      <c r="C74" s="20">
        <v>0</v>
      </c>
      <c r="D74" s="20">
        <v>258.08</v>
      </c>
      <c r="E74" s="17"/>
      <c r="F74" s="17"/>
      <c r="G74" s="17"/>
      <c r="H74" s="17"/>
      <c r="I74" s="21"/>
      <c r="J74" s="21"/>
      <c r="K74" s="17"/>
      <c r="L74" s="17"/>
      <c r="M74" s="21"/>
      <c r="N74" s="21">
        <f t="shared" si="21"/>
        <v>258.08</v>
      </c>
      <c r="O74" s="15">
        <f t="shared" ref="O74:O76" si="22">SUM(B74:M74)</f>
        <v>258.08</v>
      </c>
      <c r="P74" s="21">
        <v>-1916.34</v>
      </c>
      <c r="Q74" s="27"/>
    </row>
    <row r="75" spans="1:18" x14ac:dyDescent="0.3">
      <c r="A75" s="5" t="s">
        <v>70</v>
      </c>
      <c r="B75" s="16"/>
      <c r="C75" s="20"/>
      <c r="D75" s="20"/>
      <c r="E75" s="17"/>
      <c r="F75" s="17"/>
      <c r="G75" s="17"/>
      <c r="H75" s="17"/>
      <c r="I75" s="21"/>
      <c r="J75" s="21"/>
      <c r="K75" s="17"/>
      <c r="L75" s="17"/>
      <c r="M75" s="21"/>
      <c r="N75" s="21">
        <v>0</v>
      </c>
      <c r="O75" s="15"/>
      <c r="P75" s="21">
        <v>1117.52</v>
      </c>
      <c r="Q75" s="27"/>
    </row>
    <row r="76" spans="1:18" x14ac:dyDescent="0.3">
      <c r="A76" s="5" t="s">
        <v>71</v>
      </c>
      <c r="B76" s="20">
        <v>-2049.54</v>
      </c>
      <c r="C76" s="20">
        <v>-2049.54</v>
      </c>
      <c r="D76" s="20">
        <v>-2049.54</v>
      </c>
      <c r="E76" s="21">
        <v>-2049.54</v>
      </c>
      <c r="F76" s="21">
        <v>-2049.54</v>
      </c>
      <c r="G76" s="21">
        <v>-2049.54</v>
      </c>
      <c r="H76" s="21">
        <v>-2049.54</v>
      </c>
      <c r="I76" s="21">
        <v>-2049.54</v>
      </c>
      <c r="J76" s="21">
        <v>-2049.54</v>
      </c>
      <c r="K76" s="21">
        <v>-2049.54</v>
      </c>
      <c r="L76" s="21">
        <v>-2049.54</v>
      </c>
      <c r="M76" s="21">
        <v>-2049.54</v>
      </c>
      <c r="N76" s="21">
        <f t="shared" si="21"/>
        <v>-24594.480000000007</v>
      </c>
      <c r="O76" s="15">
        <f t="shared" si="22"/>
        <v>-24594.480000000007</v>
      </c>
      <c r="P76" s="21">
        <v>-21358.799999999999</v>
      </c>
      <c r="Q76" s="27"/>
    </row>
    <row r="77" spans="1:18" x14ac:dyDescent="0.3">
      <c r="A77" s="5" t="s">
        <v>72</v>
      </c>
      <c r="B77" s="22">
        <f>SUM(B73:B76)</f>
        <v>-2049.4</v>
      </c>
      <c r="C77" s="22">
        <f t="shared" ref="C77:P77" si="23">SUM(C73:C76)</f>
        <v>-1951.6599999999999</v>
      </c>
      <c r="D77" s="22">
        <f t="shared" si="23"/>
        <v>-276.15000000000009</v>
      </c>
      <c r="E77" s="23">
        <f t="shared" si="23"/>
        <v>-1549.54</v>
      </c>
      <c r="F77" s="23">
        <f t="shared" si="23"/>
        <v>-1549.54</v>
      </c>
      <c r="G77" s="23">
        <f t="shared" si="23"/>
        <v>-1549.54</v>
      </c>
      <c r="H77" s="23">
        <f t="shared" si="23"/>
        <v>-1549.54</v>
      </c>
      <c r="I77" s="23">
        <f t="shared" si="23"/>
        <v>-1549.54</v>
      </c>
      <c r="J77" s="23">
        <f t="shared" si="23"/>
        <v>-1549.54</v>
      </c>
      <c r="K77" s="23">
        <f t="shared" si="23"/>
        <v>-1549.54</v>
      </c>
      <c r="L77" s="23">
        <f t="shared" si="23"/>
        <v>-1549.54</v>
      </c>
      <c r="M77" s="23">
        <f t="shared" si="23"/>
        <v>-1549.54</v>
      </c>
      <c r="N77" s="23">
        <f t="shared" si="23"/>
        <v>-18223.070000000007</v>
      </c>
      <c r="O77" s="15">
        <f>SUM(B77:M77)</f>
        <v>-18223.070000000003</v>
      </c>
      <c r="P77" s="23">
        <f t="shared" si="23"/>
        <v>-22149.969999999998</v>
      </c>
      <c r="Q77" s="27"/>
    </row>
    <row r="78" spans="1:18" hidden="1" x14ac:dyDescent="0.3">
      <c r="A78" s="5" t="s">
        <v>73</v>
      </c>
      <c r="B78" s="22">
        <f t="shared" ref="B78:M78" si="24">(B77)-(0)</f>
        <v>-2049.4</v>
      </c>
      <c r="C78" s="22">
        <f t="shared" si="24"/>
        <v>-1951.6599999999999</v>
      </c>
      <c r="D78" s="22">
        <f t="shared" si="24"/>
        <v>-276.15000000000009</v>
      </c>
      <c r="E78" s="23">
        <f t="shared" si="24"/>
        <v>-1549.54</v>
      </c>
      <c r="F78" s="23">
        <f t="shared" si="24"/>
        <v>-1549.54</v>
      </c>
      <c r="G78" s="23">
        <f t="shared" si="24"/>
        <v>-1549.54</v>
      </c>
      <c r="H78" s="23">
        <f t="shared" si="24"/>
        <v>-1549.54</v>
      </c>
      <c r="I78" s="23">
        <f t="shared" si="24"/>
        <v>-1549.54</v>
      </c>
      <c r="J78" s="23">
        <f t="shared" si="24"/>
        <v>-1549.54</v>
      </c>
      <c r="K78" s="23">
        <f t="shared" si="24"/>
        <v>-1549.54</v>
      </c>
      <c r="L78" s="23">
        <f t="shared" si="24"/>
        <v>-1549.54</v>
      </c>
      <c r="M78" s="23">
        <f t="shared" si="24"/>
        <v>-1549.54</v>
      </c>
      <c r="N78" s="23">
        <f t="shared" ref="N78" si="25">(((((((((((B78)+(C78))+(D78))+(E78))+(F78))+(G78))+(H78))+(I78))+(J78))+(K78))+(L78))+(M78)</f>
        <v>-18223.070000000003</v>
      </c>
      <c r="P78" s="23">
        <f t="shared" ref="P78" si="26">(P77)-(0)</f>
        <v>-22149.969999999998</v>
      </c>
      <c r="Q78" s="27"/>
    </row>
    <row r="79" spans="1:18" x14ac:dyDescent="0.3">
      <c r="A79" s="5"/>
      <c r="B79" s="22"/>
      <c r="C79" s="22"/>
      <c r="D79" s="22"/>
      <c r="E79" s="23"/>
      <c r="F79" s="23"/>
      <c r="G79" s="23"/>
      <c r="H79" s="23"/>
      <c r="I79" s="23"/>
      <c r="J79" s="23"/>
      <c r="K79" s="23"/>
      <c r="L79" s="23"/>
      <c r="M79" s="23"/>
      <c r="N79" s="23"/>
      <c r="P79" s="23"/>
      <c r="Q79" s="27"/>
    </row>
    <row r="80" spans="1:18" x14ac:dyDescent="0.3">
      <c r="A80" s="5" t="s">
        <v>74</v>
      </c>
      <c r="B80" s="22">
        <f>(B70)+(B77)</f>
        <v>37244.720000000001</v>
      </c>
      <c r="C80" s="22">
        <f t="shared" ref="C80:N80" si="27">(C70)+(C77)</f>
        <v>675345.46</v>
      </c>
      <c r="D80" s="22">
        <f t="shared" si="27"/>
        <v>-12554.87</v>
      </c>
      <c r="E80" s="23">
        <f t="shared" si="27"/>
        <v>-32871.483850000011</v>
      </c>
      <c r="F80" s="23">
        <f t="shared" si="27"/>
        <v>-45311.421699999999</v>
      </c>
      <c r="G80" s="23">
        <f t="shared" si="27"/>
        <v>-48349.726849999999</v>
      </c>
      <c r="H80" s="23">
        <f t="shared" si="27"/>
        <v>-60704.346500000007</v>
      </c>
      <c r="I80" s="23">
        <f t="shared" si="27"/>
        <v>-53945.38700000001</v>
      </c>
      <c r="J80" s="33">
        <f t="shared" si="27"/>
        <v>-43768.585000000014</v>
      </c>
      <c r="K80" s="23">
        <f t="shared" si="27"/>
        <v>-44213.363550000002</v>
      </c>
      <c r="L80" s="23">
        <f t="shared" si="27"/>
        <v>-41290.685700000009</v>
      </c>
      <c r="M80" s="23">
        <f t="shared" si="27"/>
        <v>15309.595499999989</v>
      </c>
      <c r="N80" s="23">
        <f t="shared" si="27"/>
        <v>344889.90535000019</v>
      </c>
      <c r="O80" s="15">
        <f>SUM(B80:M80)</f>
        <v>344889.90535000002</v>
      </c>
      <c r="P80" s="23">
        <f t="shared" ref="P80" si="28">(P70)+(P77)</f>
        <v>21007.980000000189</v>
      </c>
      <c r="Q80" s="27"/>
      <c r="R80" s="28">
        <f>SUM(B80:J80)</f>
        <v>415084.35910000006</v>
      </c>
    </row>
    <row r="81" spans="1:16" x14ac:dyDescent="0.3">
      <c r="A81" s="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P81" s="7"/>
    </row>
    <row r="85" spans="1:16" x14ac:dyDescent="0.3">
      <c r="B85" s="15">
        <f>SUM(B68:J68)</f>
        <v>195338.68090000001</v>
      </c>
    </row>
  </sheetData>
  <mergeCells count="5">
    <mergeCell ref="A1:N1"/>
    <mergeCell ref="A2:N2"/>
    <mergeCell ref="A3:N3"/>
    <mergeCell ref="A5:N5"/>
    <mergeCell ref="A4:N4"/>
  </mergeCells>
  <printOptions horizontalCentered="1" gridLines="1"/>
  <pageMargins left="0.2" right="0.2" top="0.75" bottom="0.75" header="0.3" footer="0.3"/>
  <pageSetup scale="60" fitToHeight="0" orientation="landscape" horizontalDpi="360" verticalDpi="360" r:id="rId1"/>
  <headerFooter>
    <oddHeader xml:space="preserve">&amp;L&amp;"-,Bold"&amp;12 4/23/23&amp;"-,Regular"&amp;11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9A5BC1F96CB24E8FD2EDA807332508" ma:contentTypeVersion="17" ma:contentTypeDescription="Create a new document." ma:contentTypeScope="" ma:versionID="a32e930e6b7f22278184a172e03860a1">
  <xsd:schema xmlns:xsd="http://www.w3.org/2001/XMLSchema" xmlns:xs="http://www.w3.org/2001/XMLSchema" xmlns:p="http://schemas.microsoft.com/office/2006/metadata/properties" xmlns:ns2="bc5998f8-b7df-4d06-8bb6-82e3dfd32318" xmlns:ns3="63730af6-871e-414e-a5d7-7ac784bf4ed0" targetNamespace="http://schemas.microsoft.com/office/2006/metadata/properties" ma:root="true" ma:fieldsID="1cf35b89daab7e0317dab0ffad7fdf35" ns2:_="" ns3:_="">
    <xsd:import namespace="bc5998f8-b7df-4d06-8bb6-82e3dfd32318"/>
    <xsd:import namespace="63730af6-871e-414e-a5d7-7ac784bf4e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998f8-b7df-4d06-8bb6-82e3dfd3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258c241-0e6b-42db-97e5-3eba40b261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30af6-871e-414e-a5d7-7ac784bf4e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52df6b4-f7eb-448a-8647-e6cb63955681}" ma:internalName="TaxCatchAll" ma:showField="CatchAllData" ma:web="63730af6-871e-414e-a5d7-7ac784bf4e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5998f8-b7df-4d06-8bb6-82e3dfd32318">
      <Terms xmlns="http://schemas.microsoft.com/office/infopath/2007/PartnerControls"/>
    </lcf76f155ced4ddcb4097134ff3c332f>
    <TaxCatchAll xmlns="63730af6-871e-414e-a5d7-7ac784bf4ed0" xsi:nil="true"/>
  </documentManagement>
</p:properties>
</file>

<file path=customXml/itemProps1.xml><?xml version="1.0" encoding="utf-8"?>
<ds:datastoreItem xmlns:ds="http://schemas.openxmlformats.org/officeDocument/2006/customXml" ds:itemID="{7B690F09-A9A8-4395-A780-DF50EB7001F6}"/>
</file>

<file path=customXml/itemProps2.xml><?xml version="1.0" encoding="utf-8"?>
<ds:datastoreItem xmlns:ds="http://schemas.openxmlformats.org/officeDocument/2006/customXml" ds:itemID="{AF590958-67D3-4BD6-8971-6F1FA7FCFD39}"/>
</file>

<file path=customXml/itemProps3.xml><?xml version="1.0" encoding="utf-8"?>
<ds:datastoreItem xmlns:ds="http://schemas.openxmlformats.org/officeDocument/2006/customXml" ds:itemID="{DA0262B5-92B5-41F4-9DA9-936C339E3A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Budget By Month</vt:lpstr>
      <vt:lpstr>Total Budget Summary</vt:lpstr>
      <vt:lpstr>'Total Budget By Month'!Print_Titles</vt:lpstr>
      <vt:lpstr>'Total Budget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Mullarkey</dc:creator>
  <cp:lastModifiedBy>Nikki Johnson</cp:lastModifiedBy>
  <cp:lastPrinted>2023-09-19T20:16:03Z</cp:lastPrinted>
  <dcterms:created xsi:type="dcterms:W3CDTF">2023-04-24T03:26:08Z</dcterms:created>
  <dcterms:modified xsi:type="dcterms:W3CDTF">2023-10-18T20:07:44Z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0x010100AC9A5BC1F96CB24E8FD2EDA807332508</vt:lpwstr>
  </property>
</Properties>
</file>